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3930" activeTab="0"/>
  </bookViews>
  <sheets>
    <sheet name="Consolidated " sheetId="1" r:id="rId1"/>
  </sheets>
  <definedNames>
    <definedName name="_xlfn._FV" hidden="1">#NAME?</definedName>
    <definedName name="_xlnm.Print_Area" localSheetId="0">'Consolidated '!$B$1:$Y$155</definedName>
    <definedName name="_xlnm.Print_Titles" localSheetId="0">'Consolidated '!$1:$5</definedName>
  </definedNames>
  <calcPr fullCalcOnLoad="1"/>
</workbook>
</file>

<file path=xl/comments1.xml><?xml version="1.0" encoding="utf-8"?>
<comments xmlns="http://schemas.openxmlformats.org/spreadsheetml/2006/main">
  <authors>
    <author>Joe Quercio</author>
    <author>Wendy Becker</author>
    <author>Wendy Cumming</author>
    <author>wendy cumming</author>
    <author>Wendy</author>
  </authors>
  <commentList>
    <comment ref="Z33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per Cannery lease schedule year 2</t>
        </r>
      </text>
    </comment>
    <comment ref="Z8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@5.50
includes a 15% vac. rate</t>
        </r>
      </text>
    </comment>
    <comment ref="G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14k
</t>
        </r>
      </text>
    </comment>
    <comment ref="H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G6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18,900*5.86 Less 1,242,510
</t>
        </r>
      </text>
    </comment>
    <comment ref="I27" authorId="1">
      <text>
        <r>
          <rPr>
            <b/>
            <sz val="8"/>
            <rFont val="Tahoma"/>
            <family val="2"/>
          </rPr>
          <t xml:space="preserve">Wendy Becker:
Update to add CPI for mid year adjustment
</t>
        </r>
      </text>
    </comment>
    <comment ref="I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H62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Includes about 84k in w/o of deposits
</t>
        </r>
      </text>
    </comment>
    <comment ref="H6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Includes Hanson and Co Appraisal Fee of $13k
</t>
        </r>
      </text>
    </comment>
    <comment ref="I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W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EQUALS 4.5% OF BERTHS, ALLOCATE 4.5% OF AMENITY TO TEMP BERTH TO CALC NEW RATE, COMBINED WITH CPI. Add remainder of util from amenity fee
</t>
        </r>
      </text>
    </comment>
    <comment ref="W1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Estimate 65 people, w/10% add'l person @150 pp</t>
        </r>
      </text>
    </comment>
    <comment ref="W1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Use last 3 fiscal year average
</t>
        </r>
      </text>
    </comment>
    <comment ref="J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J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J7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reduced for line 105</t>
        </r>
      </text>
    </comment>
    <comment ref="K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K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K7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reduced for line 105</t>
        </r>
      </text>
    </comment>
    <comment ref="K69" authorId="2">
      <text>
        <r>
          <rPr>
            <b/>
            <sz val="9"/>
            <rFont val="Tahoma"/>
            <family val="2"/>
          </rPr>
          <t>Wendy Cumming:</t>
        </r>
        <r>
          <rPr>
            <sz val="9"/>
            <rFont val="Tahoma"/>
            <family val="2"/>
          </rPr>
          <t xml:space="preserve">
Claims settlement of 18k</t>
        </r>
      </text>
    </comment>
    <comment ref="L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Blended decrease over 08 = 50%
</t>
        </r>
      </text>
    </comment>
    <comment ref="L6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Reimb. State mandated costs = 24k</t>
        </r>
      </text>
    </comment>
    <comment ref="L62" authorId="2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$7,389 CS Principal Fin.</t>
        </r>
      </text>
    </comment>
    <comment ref="Y54" authorId="2">
      <text>
        <r>
          <rPr>
            <b/>
            <sz val="9"/>
            <rFont val="Tahoma"/>
            <family val="2"/>
          </rPr>
          <t>Wendy Cumming:</t>
        </r>
        <r>
          <rPr>
            <sz val="9"/>
            <rFont val="Tahoma"/>
            <family val="2"/>
          </rPr>
          <t xml:space="preserve">
Maximum allowed to increase is 25%, or 50% or more on an accumulated basis over a 3 year period. Higher would require a coastal development permit.
</t>
        </r>
      </text>
    </comment>
    <comment ref="D104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adjust for actual - cip calc
</t>
        </r>
      </text>
    </comment>
    <comment ref="Z31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per Cannery lease schedule year 2</t>
        </r>
      </text>
    </comment>
    <comment ref="Z32" authorId="0">
      <text>
        <r>
          <rPr>
            <b/>
            <sz val="8"/>
            <rFont val="Tahoma"/>
            <family val="2"/>
          </rPr>
          <t>Joe Quercio:</t>
        </r>
        <r>
          <rPr>
            <sz val="8"/>
            <rFont val="Tahoma"/>
            <family val="2"/>
          </rPr>
          <t xml:space="preserve">
per Cannery lease schedule year 2</t>
        </r>
      </text>
    </comment>
    <comment ref="U90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Added est. for NH building. Completion mid year</t>
        </r>
      </text>
    </comment>
    <comment ref="R76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Reduced by overbilling by Monterey one</t>
        </r>
      </text>
    </comment>
    <comment ref="W54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Increased in FY21 budget year</t>
        </r>
      </text>
    </comment>
    <comment ref="W78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Big deal for Tony</t>
        </r>
      </text>
    </comment>
    <comment ref="W48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444 berths currently being billed. Take total utilities, less 4.5% for temp berth, less cannery NNN (current year $40000), divide by 444, then by 12 to get monthly rate. Reduce by 50% of passenger vessel income. Reduce by 50% of the liveaboard revenue as that fee is paying for utilities. 
Includes PG&amp;E, Water, Sewer, Garbage and Bayside Oil</t>
        </r>
      </text>
    </comment>
    <comment ref="T90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Added est. for NH building. Completion mid year</t>
        </r>
      </text>
    </comment>
    <comment ref="V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EQUALS 4.5% OF BERTHS, ALLOCATE 4.5% OF AMENITY TO TEMP BERTH TO CALC NEW RATE, COMBINED WITH CPI. Add remainder of util from amenity fee
</t>
        </r>
      </text>
    </comment>
    <comment ref="V13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Estimate 65 people, w/10% add'l person @150 pp</t>
        </r>
      </text>
    </comment>
    <comment ref="V19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Use last 3 fiscal year average
</t>
        </r>
      </text>
    </comment>
    <comment ref="V48" authorId="1">
      <text>
        <r>
          <rPr>
            <b/>
            <sz val="8"/>
            <rFont val="Tahoma"/>
            <family val="2"/>
          </rPr>
          <t>Wendy Becker:</t>
        </r>
        <r>
          <rPr>
            <sz val="8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444 berths currently being billed. Take total utilities, less 4.5% for temp berth, less cannery NNN (current year $40000), divide by 444, then by 12 to get monthly rate. Reduce by 50% of passenger vessel income. Reduce by 50% of the liveaboard revenue as that fee is paying for utilities. 
Includes PG&amp;E, Water, Sewer, Garbage and Bayside Oil</t>
        </r>
      </text>
    </comment>
    <comment ref="V54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Increased in FY21 budget year</t>
        </r>
      </text>
    </comment>
    <comment ref="V78" authorId="3">
      <text>
        <r>
          <rPr>
            <b/>
            <sz val="9"/>
            <rFont val="Tahoma"/>
            <family val="0"/>
          </rPr>
          <t>wendy cumming:</t>
        </r>
        <r>
          <rPr>
            <sz val="9"/>
            <rFont val="Tahoma"/>
            <family val="0"/>
          </rPr>
          <t xml:space="preserve">
Big deal for Tony</t>
        </r>
      </text>
    </comment>
    <comment ref="Y51" authorId="4">
      <text>
        <r>
          <rPr>
            <b/>
            <sz val="13"/>
            <rFont val="Tahoma"/>
            <family val="0"/>
          </rPr>
          <t>Wendy:</t>
        </r>
        <r>
          <rPr>
            <sz val="13"/>
            <rFont val="Tahoma"/>
            <family val="0"/>
          </rPr>
          <t xml:space="preserve">
Where old Pot Stop was</t>
        </r>
      </text>
    </comment>
    <comment ref="U62" authorId="4">
      <text>
        <r>
          <rPr>
            <b/>
            <sz val="13"/>
            <rFont val="Tahoma"/>
            <family val="0"/>
          </rPr>
          <t>Wendy:</t>
        </r>
      </text>
    </comment>
    <comment ref="U63" authorId="4">
      <text>
        <r>
          <rPr>
            <b/>
            <sz val="13"/>
            <rFont val="Tahoma"/>
            <family val="0"/>
          </rPr>
          <t>Wendy:</t>
        </r>
        <r>
          <rPr>
            <sz val="13"/>
            <rFont val="Tahoma"/>
            <family val="0"/>
          </rPr>
          <t xml:space="preserve">
Ins. Reimb.for tesla/gate incident
</t>
        </r>
      </text>
    </comment>
  </commentList>
</comments>
</file>

<file path=xl/sharedStrings.xml><?xml version="1.0" encoding="utf-8"?>
<sst xmlns="http://schemas.openxmlformats.org/spreadsheetml/2006/main" count="434" uniqueCount="279">
  <si>
    <t>MOSS LANDING HARBOR DISTRICT</t>
  </si>
  <si>
    <t>Budget</t>
  </si>
  <si>
    <t>Projected</t>
  </si>
  <si>
    <t>FYE 6/30/04</t>
  </si>
  <si>
    <t>FYE 6/30/05</t>
  </si>
  <si>
    <t>Revenues</t>
  </si>
  <si>
    <t xml:space="preserve">5.56/ft </t>
  </si>
  <si>
    <t>Assigned Berthing</t>
  </si>
  <si>
    <t>Temporary Berthing</t>
  </si>
  <si>
    <t>Qtrly/Annual Discount</t>
  </si>
  <si>
    <t>Commercial Discount</t>
  </si>
  <si>
    <t>Transient Berthing</t>
  </si>
  <si>
    <t>Intra-Harbor Towing</t>
  </si>
  <si>
    <t>SH Parking</t>
  </si>
  <si>
    <t>Late Fees</t>
  </si>
  <si>
    <t>Total Marina Revenues</t>
  </si>
  <si>
    <t>MB Kayak</t>
  </si>
  <si>
    <t>Martin/Mason</t>
  </si>
  <si>
    <t>RV Lot</t>
  </si>
  <si>
    <t>Total Lease Revenue</t>
  </si>
  <si>
    <t>Dry Storage (2)-Gear &amp; Trailer</t>
  </si>
  <si>
    <t>NH Boat Wash</t>
  </si>
  <si>
    <t>Camping/RV</t>
  </si>
  <si>
    <t>Equipment Rental</t>
  </si>
  <si>
    <t>Facilities Use Permits</t>
  </si>
  <si>
    <t>TOTAL REVENUES</t>
  </si>
  <si>
    <t>Expenses</t>
  </si>
  <si>
    <t>General &amp; Administrative</t>
  </si>
  <si>
    <t>Attorney</t>
  </si>
  <si>
    <t>Personnel</t>
  </si>
  <si>
    <t>Insurance &amp; Bonding</t>
  </si>
  <si>
    <t>Maintenance &amp; Repairs</t>
  </si>
  <si>
    <t>Operating Supplies</t>
  </si>
  <si>
    <t>Outside Service Contracts</t>
  </si>
  <si>
    <t>Commissioner Expenses</t>
  </si>
  <si>
    <t>Derelict Disposal</t>
  </si>
  <si>
    <t>Total Expenses</t>
  </si>
  <si>
    <t>Property Taxes</t>
  </si>
  <si>
    <t>Total Other Income</t>
  </si>
  <si>
    <t>LAFCO</t>
  </si>
  <si>
    <t>Dredging</t>
  </si>
  <si>
    <t>Total Other Expenses</t>
  </si>
  <si>
    <t>Security Camera</t>
  </si>
  <si>
    <t>Computers (incl software)</t>
  </si>
  <si>
    <t>Total Capital Requirements</t>
  </si>
  <si>
    <t>Total Capital Contributions</t>
  </si>
  <si>
    <t>Capital Projects Budget</t>
  </si>
  <si>
    <t>Cash Flow Reconciliation</t>
  </si>
  <si>
    <t>Add: Depreciation</t>
  </si>
  <si>
    <t>FYE 6/30/06</t>
  </si>
  <si>
    <t xml:space="preserve">5.66/ft </t>
  </si>
  <si>
    <t>5.75/ft</t>
  </si>
  <si>
    <t>A</t>
  </si>
  <si>
    <t>B</t>
  </si>
  <si>
    <t>C</t>
  </si>
  <si>
    <t>D</t>
  </si>
  <si>
    <t>Insurance policy, financed through AFCO</t>
  </si>
  <si>
    <t>Dock maintenance</t>
  </si>
  <si>
    <t xml:space="preserve">$200 per occurrence </t>
  </si>
  <si>
    <t>FYE 6/30/07</t>
  </si>
  <si>
    <t>5.86/ft</t>
  </si>
  <si>
    <t>E</t>
  </si>
  <si>
    <t>Mandatory membership fee</t>
  </si>
  <si>
    <t>MBARI-MARS Cable</t>
  </si>
  <si>
    <t>Vending (Soda/Laundry)</t>
  </si>
  <si>
    <t>6.05/ft</t>
  </si>
  <si>
    <t>FYE 6/30/08</t>
  </si>
  <si>
    <t>Depreciation</t>
  </si>
  <si>
    <t>Interest - Premium Finance</t>
  </si>
  <si>
    <t>Reserved Funds Allocation</t>
  </si>
  <si>
    <t>FYE 6/30/09</t>
  </si>
  <si>
    <t>6.25/ft</t>
  </si>
  <si>
    <t>Recovered Lien Costs</t>
  </si>
  <si>
    <t>Cannery NNN</t>
  </si>
  <si>
    <t>Media/Publications/Advertising</t>
  </si>
  <si>
    <t>Accountant</t>
  </si>
  <si>
    <t>Auditor</t>
  </si>
  <si>
    <t>Leases</t>
  </si>
  <si>
    <t>Marina Revenues</t>
  </si>
  <si>
    <t>Revenues - Other</t>
  </si>
  <si>
    <t>Total Other Revenue</t>
  </si>
  <si>
    <t>Comm Election</t>
  </si>
  <si>
    <t>CSDA</t>
  </si>
  <si>
    <t>Loan Payments</t>
  </si>
  <si>
    <t>Plus:  Loan Payments</t>
  </si>
  <si>
    <t>Total Loan Payments</t>
  </si>
  <si>
    <t>Excess District equipment</t>
  </si>
  <si>
    <t>FYE 6/30/10</t>
  </si>
  <si>
    <t xml:space="preserve"> </t>
  </si>
  <si>
    <t>All other capital projects funded by General funds</t>
  </si>
  <si>
    <t>From General Funds</t>
  </si>
  <si>
    <t>Extra funds needed for capital project funds</t>
  </si>
  <si>
    <t xml:space="preserve">PG&amp;E  </t>
  </si>
  <si>
    <t>Sewer</t>
  </si>
  <si>
    <t>Water</t>
  </si>
  <si>
    <t>Trash</t>
  </si>
  <si>
    <t>FYE 6/30/11</t>
  </si>
  <si>
    <t>Pot Stop</t>
  </si>
  <si>
    <t>6.31/ft</t>
  </si>
  <si>
    <t>Utility reimbursement per lease</t>
  </si>
  <si>
    <t>Optional membership (required for workers comp policy)</t>
  </si>
  <si>
    <t>Pump outs</t>
  </si>
  <si>
    <t>County EIR</t>
  </si>
  <si>
    <t>Moss Landing Community planning</t>
  </si>
  <si>
    <t>Net Increase (decrease) in Cash</t>
  </si>
  <si>
    <t>FYE 6/30/12</t>
  </si>
  <si>
    <t>Merchandise - Clothing, etc.</t>
  </si>
  <si>
    <t>6.40/ft</t>
  </si>
  <si>
    <t>General Funds</t>
  </si>
  <si>
    <t>Lumber, material, electrical and floats</t>
  </si>
  <si>
    <t>Net Operating Income (Loss)</t>
  </si>
  <si>
    <t>NET INCOME (LOSS)</t>
  </si>
  <si>
    <t xml:space="preserve">               - (5A&amp;B, 7A&amp;B)</t>
  </si>
  <si>
    <t xml:space="preserve">               - (9)</t>
  </si>
  <si>
    <t xml:space="preserve">               - (2)</t>
  </si>
  <si>
    <t xml:space="preserve">               - (1&amp;10)</t>
  </si>
  <si>
    <t xml:space="preserve">               - (4)</t>
  </si>
  <si>
    <t>Plus Net increase (decrease) in Cash</t>
  </si>
  <si>
    <t>Liveaboard Fees</t>
  </si>
  <si>
    <t>Vacancy Rate based on 22070 LF</t>
  </si>
  <si>
    <t xml:space="preserve">Cannery Suites - (3) </t>
  </si>
  <si>
    <t xml:space="preserve">S.H. Spare Office </t>
  </si>
  <si>
    <t>FYE 6/30/13</t>
  </si>
  <si>
    <t>H</t>
  </si>
  <si>
    <t>6.60/ft</t>
  </si>
  <si>
    <t>$3,055.31/month (Prev. SJ State Fnd)</t>
  </si>
  <si>
    <t>Assigned Slip/LA App. Fee</t>
  </si>
  <si>
    <t>MBARI - Dock</t>
  </si>
  <si>
    <t xml:space="preserve">               - (8)</t>
  </si>
  <si>
    <t>Capital Projects to be Funded</t>
  </si>
  <si>
    <t>From: FEMA</t>
  </si>
  <si>
    <t>FYE 6/30/14</t>
  </si>
  <si>
    <t>Interest Union Bank</t>
  </si>
  <si>
    <t>G</t>
  </si>
  <si>
    <t>$7,879.68, or 24% of gross, whichever is greater (Exp. 10/24)</t>
  </si>
  <si>
    <t>6.80/ft</t>
  </si>
  <si>
    <t>Misc. Charge/Pet fee</t>
  </si>
  <si>
    <t>Fuel, paper products, parking envelopes, uniforms/CPI adj</t>
  </si>
  <si>
    <t>*$4  for 5 min</t>
  </si>
  <si>
    <t>(G) General</t>
  </si>
  <si>
    <t>(T) Trust</t>
  </si>
  <si>
    <t>T</t>
  </si>
  <si>
    <t xml:space="preserve">                - K-Pier</t>
  </si>
  <si>
    <t>North Harbor Use Fee</t>
  </si>
  <si>
    <t>T/G</t>
  </si>
  <si>
    <t xml:space="preserve">$175 per month </t>
  </si>
  <si>
    <t>$50.00 per night</t>
  </si>
  <si>
    <t xml:space="preserve">Telephone, office supplies, postage, etc. </t>
  </si>
  <si>
    <t>Add: Net Income (Loss)</t>
  </si>
  <si>
    <t>NH Visitor Dock</t>
  </si>
  <si>
    <t>Repair/replacement</t>
  </si>
  <si>
    <t>Cannery - Roof</t>
  </si>
  <si>
    <t>less $0.50/ft, 41 berth holders avg. 30 ft. boats</t>
  </si>
  <si>
    <t>Non-Op Surcharge</t>
  </si>
  <si>
    <t xml:space="preserve">$75 filing fee/$250 application fee liveaboard </t>
  </si>
  <si>
    <t>Concrete docks replacement</t>
  </si>
  <si>
    <t>Sewer Lift Station</t>
  </si>
  <si>
    <t>Roof and drywall</t>
  </si>
  <si>
    <t>2 at NH, 1 at SH</t>
  </si>
  <si>
    <t>Tsunami Erosion Repair</t>
  </si>
  <si>
    <t>NH Wharf entrance repair</t>
  </si>
  <si>
    <t>FYE 6/30/16</t>
  </si>
  <si>
    <t>Copies, Key Sales, Bid Packages, etc.</t>
  </si>
  <si>
    <t>Interest Umpqua</t>
  </si>
  <si>
    <t>Note interest  2.85%</t>
  </si>
  <si>
    <t>Loan - UMPQUA</t>
  </si>
  <si>
    <t xml:space="preserve">               - (6A, B &amp;D)</t>
  </si>
  <si>
    <t xml:space="preserve">               - (5A)</t>
  </si>
  <si>
    <t xml:space="preserve">               - (5B)</t>
  </si>
  <si>
    <t>$1.00 pg, .15 pg. thereafter, Gate Keys $10-25</t>
  </si>
  <si>
    <t>Piling replacement project</t>
  </si>
  <si>
    <t>7.15/ft</t>
  </si>
  <si>
    <t>Nader Agha per reimbursement agreement</t>
  </si>
  <si>
    <t>Trust Lands Lease  Revenue</t>
  </si>
  <si>
    <t>Total Trust Lands Lease Revenue</t>
  </si>
  <si>
    <t>FYE 6/30/17</t>
  </si>
  <si>
    <t>Interest - UMPQUA (Includes refi. Fees)</t>
  </si>
  <si>
    <t>7.35/ft</t>
  </si>
  <si>
    <t>Surplus Sale &amp; Misc., Insurance reimb.</t>
  </si>
  <si>
    <t>New NH Building</t>
  </si>
  <si>
    <t>Paid annually w/CPI (Expires 4/39)</t>
  </si>
  <si>
    <t>Paid annually w/CPI (Expires 3/56)</t>
  </si>
  <si>
    <t>FYE 6/30/18</t>
  </si>
  <si>
    <t>7.55/ft</t>
  </si>
  <si>
    <t xml:space="preserve">$436.21/mo.  </t>
  </si>
  <si>
    <t>Electric Panel Cabinets (3 of 6)</t>
  </si>
  <si>
    <t>Subject to quote</t>
  </si>
  <si>
    <t>Replace Marina program and system maintenance</t>
  </si>
  <si>
    <t>F</t>
  </si>
  <si>
    <t>FYE 6/30/19</t>
  </si>
  <si>
    <t>Bad Debt /bank charges</t>
  </si>
  <si>
    <t>7.90/ft</t>
  </si>
  <si>
    <t xml:space="preserve">               - (7)</t>
  </si>
  <si>
    <t>Desal Reimbursement</t>
  </si>
  <si>
    <t>CEQA-Desal Expenses reimbursable</t>
  </si>
  <si>
    <t>Paid annually w/CPI (Expires 2/31)</t>
  </si>
  <si>
    <t>Interest,  Tax and Other Income</t>
  </si>
  <si>
    <t>Interest and Other Expenses</t>
  </si>
  <si>
    <t>Amenities Fee - Slip holders</t>
  </si>
  <si>
    <t>Newspaper ads, NH Development, TV, website, public notice</t>
  </si>
  <si>
    <t>dock/mat'l/roofing/gangway</t>
  </si>
  <si>
    <t>New North Harbor Building, including lighting</t>
  </si>
  <si>
    <t>Through permitting</t>
  </si>
  <si>
    <t>NH 30 Rm. Hotel</t>
  </si>
  <si>
    <t>1 replaced, 3 left to replace</t>
  </si>
  <si>
    <t>District Vehicle</t>
  </si>
  <si>
    <t>Fisherman's Dorm/Café</t>
  </si>
  <si>
    <t>For dredging - 2017 Atmospheric River Storms</t>
  </si>
  <si>
    <t>Capital Project Funding:</t>
  </si>
  <si>
    <t>Capital Projects:</t>
  </si>
  <si>
    <t>FYE 6/30/20</t>
  </si>
  <si>
    <t>8.15/ft</t>
  </si>
  <si>
    <t>Aspen Enviornmental</t>
  </si>
  <si>
    <t>Passenger Vessel Fees</t>
  </si>
  <si>
    <t>Near Shore Storage</t>
  </si>
  <si>
    <t>$250 1st application, $50 renewal Application, $250 issuance fee</t>
  </si>
  <si>
    <t>NH Pkg Resurfacting</t>
  </si>
  <si>
    <t xml:space="preserve">$100 per multiplied by vessel capacity due annually. </t>
  </si>
  <si>
    <t>FYE 6/30/21</t>
  </si>
  <si>
    <t>8.40/ft</t>
  </si>
  <si>
    <t>Derelict Disposal/OES</t>
  </si>
  <si>
    <t>Government Grants</t>
  </si>
  <si>
    <t>Misc. Small Capital Purchases</t>
  </si>
  <si>
    <t>Not occupied</t>
  </si>
  <si>
    <t>Pot Stop Building demo.</t>
  </si>
  <si>
    <t>Amenity</t>
  </si>
  <si>
    <t>New Rate</t>
  </si>
  <si>
    <t>1.25/ft  (Prior year 1.25/ft.)</t>
  </si>
  <si>
    <t xml:space="preserve">Sea Harvest </t>
  </si>
  <si>
    <t>SH Streetlight replacement</t>
  </si>
  <si>
    <t>FYE 6/30/22</t>
  </si>
  <si>
    <t xml:space="preserve"> Current 10'X20'/$140, 10'X30'/$160, 10'X40'/$180</t>
  </si>
  <si>
    <t>Cannery HVAC/Mechanical Penthouse</t>
  </si>
  <si>
    <t xml:space="preserve">Vistra </t>
  </si>
  <si>
    <t>$1,713.39/mo, plus percentage rent (Month to month)</t>
  </si>
  <si>
    <t>8.55/ft</t>
  </si>
  <si>
    <t xml:space="preserve">3% quarterly/ annual </t>
  </si>
  <si>
    <t>BUDGET FYE 6/30/2023</t>
  </si>
  <si>
    <t>FYE 6/30/23</t>
  </si>
  <si>
    <t>CPI = 5.52%</t>
  </si>
  <si>
    <t>9.02/ft</t>
  </si>
  <si>
    <t>Prior year $8.55, with CPI $9.02</t>
  </si>
  <si>
    <t>x</t>
  </si>
  <si>
    <t>CPI 4.24%</t>
  </si>
  <si>
    <t>$8,433.95 mo. (ML Seafood Lund's, Prev. Sea Harvest) (Expires 5/30)</t>
  </si>
  <si>
    <t>$8,156.51/mo. (Monterey Fish) (Expires 5/30)</t>
  </si>
  <si>
    <t>$1,720.24/mo. (Local Bounty)  (Month to month)</t>
  </si>
  <si>
    <t>$965.21 (Running Stream) (Month to Month)</t>
  </si>
  <si>
    <t>$1,391.07 (Local Bounty)(Expires 7/22) w/ (1) 1-yr options</t>
  </si>
  <si>
    <t>$1,244.00 (Deep Water Desal )(Expires 2/23) w/ (1) 1-yr option</t>
  </si>
  <si>
    <t>$780.27/mo. (Veridian Advisors) (term. 5/2022)</t>
  </si>
  <si>
    <t>$854.30/mo. (Verizon) Roof top and under stairs (3/23)</t>
  </si>
  <si>
    <t>$2,425.46/mo.  (Lusamerica)(Upon Expiration 2/23)</t>
  </si>
  <si>
    <t>$3,215.65 base + % rent (Expires 8/30)</t>
  </si>
  <si>
    <t>$3,065.62/mo. No less than 3% in lease agmt. (Expires 9/31)</t>
  </si>
  <si>
    <t>$3,049.92/mo. (Deyerle)  (Expires 8/31)</t>
  </si>
  <si>
    <t>Principal Payment (Unpaid balance $2,163,830 Int. rate 2.85%)</t>
  </si>
  <si>
    <t>Increase for NH Building (Est. to start 1/1/23)</t>
  </si>
  <si>
    <t>.05% on $1.17M</t>
  </si>
  <si>
    <t>.20% on $1.56M</t>
  </si>
  <si>
    <t>Interest 1st Capital Bank - Trust Account</t>
  </si>
  <si>
    <t>.10% on $250k</t>
  </si>
  <si>
    <t>Interest - First Capital Bank Investment</t>
  </si>
  <si>
    <t>$1,304.18/mo. Upstairs inside (Miller Marine Solutions)(Exp. 1/22)</t>
  </si>
  <si>
    <t>SH Pkg Resurfacting</t>
  </si>
  <si>
    <t>$12K each; pile only, tsunami damage repair</t>
  </si>
  <si>
    <t>Maint. Truck</t>
  </si>
  <si>
    <t>13.45/ft no amenity fee (Prior year 12.75/ft)(added CPI)</t>
  </si>
  <si>
    <t>$180 for each person (Prior year $170)(Added $10) *</t>
  </si>
  <si>
    <t xml:space="preserve">$200 each way </t>
  </si>
  <si>
    <t xml:space="preserve">10'X20'/$110, 10'X30'/$120, 10'X40'/$130 </t>
  </si>
  <si>
    <t>$35 dollar charge per month (Prior year $30), on balances over $130 past due</t>
  </si>
  <si>
    <t xml:space="preserve">Current Vessels: $21 use/park, $15 use, $210 annual use/park. Kayaks/ PWC: $16 use/park, $10 use, $160 annual use/park, $95 annual use only </t>
  </si>
  <si>
    <t>Monthly permits $110, daily $11, 24 hrs. $19 (CCC Reg.)</t>
  </si>
  <si>
    <t>Use fee calculation</t>
  </si>
  <si>
    <t>$1.25-$1.50 per load to wash/dry</t>
  </si>
  <si>
    <t>$69.50 for all assign. vessels in harbor (prior year $66.50)</t>
  </si>
  <si>
    <t>Dock infrastructure/improvements</t>
  </si>
  <si>
    <t>Only if incumbent challenged, $7-$10 per voter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</si>
</sst>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_);\(0\)"/>
    <numFmt numFmtId="167" formatCode="_(* #,##0.000_);_(* \(#,##0.000\);_(* &quot;-&quot;??_);_(@_)"/>
    <numFmt numFmtId="168" formatCode="0.0%"/>
    <numFmt numFmtId="169" formatCode="_(* #,##0.0_);_(* \(#,##0.0\);_(* &quot;-&quot;?_);_(@_)"/>
    <numFmt numFmtId="170" formatCode="0.000%"/>
    <numFmt numFmtId="171" formatCode="0;[Red]0"/>
    <numFmt numFmtId="172" formatCode="0.0;[Red]0.0"/>
    <numFmt numFmtId="173" formatCode="0.00;[Red]0.00"/>
    <numFmt numFmtId="174" formatCode="0.000;[Red]0.000"/>
    <numFmt numFmtId="175" formatCode="_(* #,##0.000_);_(* \(#,##0.000\);_(* &quot;-&quot;???_);_(@_)"/>
    <numFmt numFmtId="176" formatCode="_(* #,##0.0000_);_(* \(#,##0.0000\);_(* &quot;-&quot;??_);_(@_)"/>
    <numFmt numFmtId="177" formatCode="_(* #,##0.0000_);_(* \(#,##0.0000\);_(* &quot;-&quot;????_);_(@_)"/>
    <numFmt numFmtId="178" formatCode="0.0000"/>
    <numFmt numFmtId="179" formatCode="0.000"/>
    <numFmt numFmtId="180" formatCode="0.0"/>
    <numFmt numFmtId="181" formatCode="&quot;$&quot;#,##0"/>
    <numFmt numFmtId="182" formatCode="0.00_);\(0.00\)"/>
    <numFmt numFmtId="183" formatCode="mmmm\ d\,\ yyyy"/>
    <numFmt numFmtId="184" formatCode="#,##0;[Red]#,##0"/>
    <numFmt numFmtId="185" formatCode="#,##0.000000"/>
    <numFmt numFmtId="186" formatCode="#,##0.000000_);\(#,##0.000000\)"/>
    <numFmt numFmtId="187" formatCode="0.00000"/>
    <numFmt numFmtId="188" formatCode="_(&quot;$&quot;* #,##0.0000_);_(&quot;$&quot;* \(#,##0.0000\);_(&quot;$&quot;* &quot;-&quot;????_);_(@_)"/>
    <numFmt numFmtId="189" formatCode="_(&quot;$&quot;* #,##0.000_);_(&quot;$&quot;* \(#,##0.000\);_(&quot;$&quot;* &quot;-&quot;???_);_(@_)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#,##0.00;\-#,##0.00"/>
    <numFmt numFmtId="193" formatCode="#,##0.0"/>
    <numFmt numFmtId="194" formatCode="#,##0.0_);\(#,##0.0\)"/>
    <numFmt numFmtId="195" formatCode="mmmm\-yy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_(&quot;$&quot;* #,##0.00000_);_(&quot;$&quot;* \(#,##0.00000\);_(&quot;$&quot;* &quot;-&quot;??_);_(@_)"/>
  </numFmts>
  <fonts count="52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sz val="1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sz val="13"/>
      <name val="Tahoma"/>
      <family val="0"/>
    </font>
    <font>
      <b/>
      <sz val="13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7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37" fontId="7" fillId="0" borderId="0" xfId="0" applyNumberFormat="1" applyFont="1" applyAlignment="1">
      <alignment horizontal="center"/>
    </xf>
    <xf numFmtId="37" fontId="7" fillId="0" borderId="10" xfId="0" applyNumberFormat="1" applyFont="1" applyBorder="1" applyAlignment="1">
      <alignment horizontal="center"/>
    </xf>
    <xf numFmtId="168" fontId="7" fillId="0" borderId="0" xfId="59" applyNumberFormat="1" applyFont="1" applyAlignment="1">
      <alignment horizontal="center"/>
    </xf>
    <xf numFmtId="10" fontId="7" fillId="0" borderId="0" xfId="59" applyNumberFormat="1" applyFont="1" applyAlignment="1">
      <alignment/>
    </xf>
    <xf numFmtId="168" fontId="6" fillId="0" borderId="0" xfId="59" applyNumberFormat="1" applyFont="1" applyAlignment="1">
      <alignment/>
    </xf>
    <xf numFmtId="165" fontId="7" fillId="0" borderId="0" xfId="42" applyNumberFormat="1" applyFont="1" applyAlignment="1">
      <alignment/>
    </xf>
    <xf numFmtId="165" fontId="6" fillId="0" borderId="0" xfId="42" applyNumberFormat="1" applyFont="1" applyAlignment="1">
      <alignment/>
    </xf>
    <xf numFmtId="37" fontId="6" fillId="33" borderId="0" xfId="0" applyNumberFormat="1" applyFont="1" applyFill="1" applyAlignment="1">
      <alignment/>
    </xf>
    <xf numFmtId="39" fontId="6" fillId="0" borderId="0" xfId="0" applyNumberFormat="1" applyFont="1" applyAlignment="1">
      <alignment/>
    </xf>
    <xf numFmtId="16" fontId="6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165" fontId="7" fillId="0" borderId="11" xfId="42" applyNumberFormat="1" applyFont="1" applyBorder="1" applyAlignment="1">
      <alignment/>
    </xf>
    <xf numFmtId="165" fontId="6" fillId="0" borderId="12" xfId="42" applyNumberFormat="1" applyFont="1" applyBorder="1" applyAlignment="1">
      <alignment/>
    </xf>
    <xf numFmtId="165" fontId="7" fillId="0" borderId="13" xfId="42" applyNumberFormat="1" applyFont="1" applyBorder="1" applyAlignment="1">
      <alignment/>
    </xf>
    <xf numFmtId="168" fontId="7" fillId="0" borderId="0" xfId="59" applyNumberFormat="1" applyFont="1" applyAlignment="1">
      <alignment/>
    </xf>
    <xf numFmtId="165" fontId="7" fillId="0" borderId="12" xfId="42" applyNumberFormat="1" applyFont="1" applyBorder="1" applyAlignment="1">
      <alignment/>
    </xf>
    <xf numFmtId="165" fontId="6" fillId="0" borderId="11" xfId="42" applyNumberFormat="1" applyFont="1" applyBorder="1" applyAlignment="1">
      <alignment/>
    </xf>
    <xf numFmtId="165" fontId="7" fillId="0" borderId="14" xfId="42" applyNumberFormat="1" applyFont="1" applyBorder="1" applyAlignment="1">
      <alignment/>
    </xf>
    <xf numFmtId="165" fontId="8" fillId="0" borderId="0" xfId="42" applyNumberFormat="1" applyFont="1" applyAlignment="1">
      <alignment/>
    </xf>
    <xf numFmtId="0" fontId="9" fillId="0" borderId="0" xfId="0" applyFont="1" applyAlignment="1">
      <alignment/>
    </xf>
    <xf numFmtId="165" fontId="9" fillId="0" borderId="0" xfId="42" applyNumberFormat="1" applyFont="1" applyAlignment="1">
      <alignment/>
    </xf>
    <xf numFmtId="43" fontId="9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0" fontId="6" fillId="0" borderId="0" xfId="59" applyNumberFormat="1" applyFont="1" applyAlignment="1">
      <alignment/>
    </xf>
    <xf numFmtId="165" fontId="7" fillId="0" borderId="0" xfId="42" applyNumberFormat="1" applyFont="1" applyAlignment="1">
      <alignment horizontal="center"/>
    </xf>
    <xf numFmtId="165" fontId="7" fillId="0" borderId="0" xfId="59" applyNumberFormat="1" applyFont="1" applyAlignment="1">
      <alignment horizontal="center"/>
    </xf>
    <xf numFmtId="10" fontId="7" fillId="0" borderId="0" xfId="59" applyNumberFormat="1" applyFont="1" applyAlignment="1">
      <alignment horizontal="center"/>
    </xf>
    <xf numFmtId="43" fontId="6" fillId="0" borderId="0" xfId="0" applyNumberFormat="1" applyFont="1" applyAlignment="1">
      <alignment/>
    </xf>
    <xf numFmtId="10" fontId="9" fillId="0" borderId="0" xfId="59" applyNumberFormat="1" applyFont="1" applyAlignment="1">
      <alignment horizontal="left"/>
    </xf>
    <xf numFmtId="165" fontId="13" fillId="0" borderId="0" xfId="42" applyNumberFormat="1" applyFont="1" applyAlignment="1">
      <alignment/>
    </xf>
    <xf numFmtId="43" fontId="7" fillId="0" borderId="0" xfId="42" applyFont="1" applyAlignment="1">
      <alignment/>
    </xf>
    <xf numFmtId="165" fontId="7" fillId="0" borderId="0" xfId="0" applyNumberFormat="1" applyFont="1" applyAlignment="1">
      <alignment/>
    </xf>
    <xf numFmtId="165" fontId="6" fillId="35" borderId="0" xfId="42" applyNumberFormat="1" applyFont="1" applyFill="1" applyAlignment="1">
      <alignment/>
    </xf>
    <xf numFmtId="0" fontId="6" fillId="35" borderId="0" xfId="0" applyFont="1" applyFill="1" applyAlignment="1">
      <alignment/>
    </xf>
    <xf numFmtId="165" fontId="6" fillId="0" borderId="0" xfId="0" applyNumberFormat="1" applyFont="1" applyAlignment="1">
      <alignment/>
    </xf>
    <xf numFmtId="0" fontId="9" fillId="35" borderId="0" xfId="0" applyFont="1" applyFill="1" applyAlignment="1">
      <alignment/>
    </xf>
    <xf numFmtId="167" fontId="7" fillId="0" borderId="0" xfId="0" applyNumberFormat="1" applyFont="1" applyAlignment="1">
      <alignment/>
    </xf>
    <xf numFmtId="0" fontId="9" fillId="0" borderId="0" xfId="0" applyFont="1" applyAlignment="1">
      <alignment wrapText="1"/>
    </xf>
    <xf numFmtId="37" fontId="7" fillId="0" borderId="10" xfId="0" applyNumberFormat="1" applyFont="1" applyBorder="1" applyAlignment="1" quotePrefix="1">
      <alignment horizontal="center"/>
    </xf>
    <xf numFmtId="168" fontId="7" fillId="35" borderId="0" xfId="59" applyNumberFormat="1" applyFont="1" applyFill="1" applyAlignment="1">
      <alignment horizontal="center"/>
    </xf>
    <xf numFmtId="43" fontId="9" fillId="0" borderId="0" xfId="42" applyFont="1" applyAlignment="1">
      <alignment/>
    </xf>
    <xf numFmtId="37" fontId="9" fillId="0" borderId="0" xfId="0" applyNumberFormat="1" applyFont="1" applyAlignment="1">
      <alignment horizontal="center"/>
    </xf>
    <xf numFmtId="10" fontId="9" fillId="0" borderId="0" xfId="59" applyNumberFormat="1" applyFont="1" applyAlignment="1">
      <alignment horizontal="center"/>
    </xf>
    <xf numFmtId="165" fontId="7" fillId="35" borderId="0" xfId="42" applyNumberFormat="1" applyFont="1" applyFill="1" applyAlignment="1">
      <alignment horizontal="center"/>
    </xf>
    <xf numFmtId="165" fontId="14" fillId="35" borderId="0" xfId="42" applyNumberFormat="1" applyFont="1" applyFill="1" applyAlignment="1">
      <alignment horizontal="center"/>
    </xf>
    <xf numFmtId="165" fontId="7" fillId="35" borderId="0" xfId="42" applyNumberFormat="1" applyFont="1" applyFill="1" applyAlignment="1">
      <alignment horizontal="center"/>
    </xf>
    <xf numFmtId="43" fontId="7" fillId="35" borderId="0" xfId="42" applyFont="1" applyFill="1" applyAlignment="1">
      <alignment horizontal="center"/>
    </xf>
    <xf numFmtId="10" fontId="7" fillId="35" borderId="0" xfId="59" applyNumberFormat="1" applyFont="1" applyFill="1" applyAlignment="1">
      <alignment horizontal="center"/>
    </xf>
    <xf numFmtId="10" fontId="6" fillId="35" borderId="0" xfId="59" applyNumberFormat="1" applyFont="1" applyFill="1" applyAlignment="1">
      <alignment/>
    </xf>
    <xf numFmtId="37" fontId="7" fillId="35" borderId="0" xfId="0" applyNumberFormat="1" applyFont="1" applyFill="1" applyAlignment="1">
      <alignment horizontal="center"/>
    </xf>
    <xf numFmtId="170" fontId="6" fillId="0" borderId="0" xfId="59" applyNumberFormat="1" applyFont="1" applyAlignment="1">
      <alignment/>
    </xf>
    <xf numFmtId="167" fontId="6" fillId="0" borderId="0" xfId="42" applyNumberFormat="1" applyFont="1" applyAlignment="1">
      <alignment/>
    </xf>
    <xf numFmtId="165" fontId="6" fillId="0" borderId="14" xfId="42" applyNumberFormat="1" applyFont="1" applyBorder="1" applyAlignment="1">
      <alignment/>
    </xf>
    <xf numFmtId="43" fontId="6" fillId="0" borderId="0" xfId="42" applyFont="1" applyAlignment="1">
      <alignment/>
    </xf>
    <xf numFmtId="167" fontId="6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9" fontId="7" fillId="0" borderId="0" xfId="59" applyFont="1" applyAlignment="1">
      <alignment horizontal="center"/>
    </xf>
    <xf numFmtId="176" fontId="6" fillId="0" borderId="0" xfId="42" applyNumberFormat="1" applyFont="1" applyAlignment="1">
      <alignment/>
    </xf>
    <xf numFmtId="9" fontId="6" fillId="0" borderId="0" xfId="59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56"/>
  <sheetViews>
    <sheetView tabSelected="1" zoomScale="90" zoomScaleNormal="90" workbookViewId="0" topLeftCell="A1">
      <pane xSplit="14" ySplit="5" topLeftCell="U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Y129" sqref="Y129"/>
    </sheetView>
  </sheetViews>
  <sheetFormatPr defaultColWidth="9.140625" defaultRowHeight="12.75"/>
  <cols>
    <col min="1" max="1" width="5.140625" style="1" customWidth="1"/>
    <col min="2" max="2" width="7.8515625" style="1" bestFit="1" customWidth="1"/>
    <col min="3" max="3" width="41.28125" style="1" bestFit="1" customWidth="1"/>
    <col min="4" max="6" width="14.00390625" style="2" hidden="1" customWidth="1"/>
    <col min="7" max="7" width="14.8515625" style="2" hidden="1" customWidth="1"/>
    <col min="8" max="8" width="16.00390625" style="2" hidden="1" customWidth="1"/>
    <col min="9" max="15" width="14.8515625" style="2" hidden="1" customWidth="1"/>
    <col min="16" max="23" width="14.8515625" style="2" customWidth="1"/>
    <col min="24" max="24" width="10.7109375" style="5" hidden="1" customWidth="1"/>
    <col min="25" max="25" width="67.28125" style="24" customWidth="1"/>
    <col min="26" max="26" width="32.140625" style="1" hidden="1" customWidth="1"/>
    <col min="27" max="27" width="32.7109375" style="1" hidden="1" customWidth="1"/>
    <col min="28" max="28" width="15.00390625" style="1" customWidth="1"/>
    <col min="29" max="29" width="10.28125" style="1" bestFit="1" customWidth="1"/>
    <col min="30" max="30" width="10.421875" style="1" bestFit="1" customWidth="1"/>
    <col min="31" max="16384" width="9.140625" style="1" customWidth="1"/>
  </cols>
  <sheetData>
    <row r="1" ht="15">
      <c r="C1" s="24" t="s">
        <v>0</v>
      </c>
    </row>
    <row r="2" spans="4:28" s="4" customFormat="1" ht="15.75">
      <c r="D2" s="6" t="s">
        <v>52</v>
      </c>
      <c r="F2" s="6" t="s">
        <v>52</v>
      </c>
      <c r="G2" s="6" t="s">
        <v>52</v>
      </c>
      <c r="H2" s="6" t="s">
        <v>52</v>
      </c>
      <c r="I2" s="6" t="s">
        <v>52</v>
      </c>
      <c r="J2" s="6" t="s">
        <v>52</v>
      </c>
      <c r="K2" s="6" t="s">
        <v>52</v>
      </c>
      <c r="L2" s="6" t="s">
        <v>52</v>
      </c>
      <c r="M2" s="44" t="s">
        <v>52</v>
      </c>
      <c r="N2" s="44" t="s">
        <v>52</v>
      </c>
      <c r="O2" s="44" t="s">
        <v>52</v>
      </c>
      <c r="P2" s="44" t="s">
        <v>52</v>
      </c>
      <c r="Q2" s="44" t="s">
        <v>53</v>
      </c>
      <c r="R2" s="44" t="s">
        <v>54</v>
      </c>
      <c r="S2" s="44" t="s">
        <v>55</v>
      </c>
      <c r="T2" s="44" t="s">
        <v>61</v>
      </c>
      <c r="U2" s="44" t="s">
        <v>188</v>
      </c>
      <c r="V2" s="44" t="s">
        <v>133</v>
      </c>
      <c r="W2" s="44" t="s">
        <v>123</v>
      </c>
      <c r="X2" s="5"/>
      <c r="Y2" s="62"/>
      <c r="AB2" s="4">
        <f>0.027/2</f>
        <v>0.0135</v>
      </c>
    </row>
    <row r="3" spans="3:28" ht="15.75">
      <c r="C3" s="24" t="s">
        <v>237</v>
      </c>
      <c r="F3" s="31"/>
      <c r="G3" s="5"/>
      <c r="H3" s="5"/>
      <c r="I3" s="32"/>
      <c r="J3" s="32"/>
      <c r="K3" s="5"/>
      <c r="L3" s="32"/>
      <c r="M3" s="30"/>
      <c r="N3" s="30"/>
      <c r="O3" s="62"/>
      <c r="P3" s="62"/>
      <c r="Q3" s="62"/>
      <c r="R3" s="62"/>
      <c r="S3" s="62"/>
      <c r="T3" s="62"/>
      <c r="U3" s="62"/>
      <c r="V3" s="62"/>
      <c r="W3" s="62"/>
      <c r="X3" s="45"/>
      <c r="Y3" s="46">
        <f>N3</f>
        <v>0</v>
      </c>
      <c r="AB3" s="29">
        <f>AB4/AB7</f>
        <v>0.2115354211436058</v>
      </c>
    </row>
    <row r="4" spans="4:28" s="3" customFormat="1" ht="15.75">
      <c r="D4" s="7"/>
      <c r="E4" s="5"/>
      <c r="F4" s="30"/>
      <c r="G4" s="5"/>
      <c r="H4" s="5"/>
      <c r="I4" s="5"/>
      <c r="J4" s="5"/>
      <c r="K4" s="5"/>
      <c r="L4" s="5" t="s">
        <v>88</v>
      </c>
      <c r="M4" s="5" t="s">
        <v>88</v>
      </c>
      <c r="N4" s="5" t="s">
        <v>88</v>
      </c>
      <c r="O4" s="62" t="s">
        <v>88</v>
      </c>
      <c r="P4" s="62" t="s">
        <v>88</v>
      </c>
      <c r="Q4" s="62" t="s">
        <v>88</v>
      </c>
      <c r="R4" s="62"/>
      <c r="S4" s="62"/>
      <c r="T4" s="62" t="s">
        <v>88</v>
      </c>
      <c r="U4" s="62" t="s">
        <v>2</v>
      </c>
      <c r="V4" s="62" t="s">
        <v>1</v>
      </c>
      <c r="W4" s="62" t="s">
        <v>1</v>
      </c>
      <c r="X4" s="5"/>
      <c r="Y4" s="24" t="s">
        <v>239</v>
      </c>
      <c r="AB4" s="37">
        <f>AB7-U8</f>
        <v>478997.00000000047</v>
      </c>
    </row>
    <row r="5" spans="4:28" s="3" customFormat="1" ht="15.75">
      <c r="D5" s="5" t="s">
        <v>3</v>
      </c>
      <c r="E5" s="5" t="s">
        <v>4</v>
      </c>
      <c r="F5" s="5" t="s">
        <v>49</v>
      </c>
      <c r="G5" s="5" t="s">
        <v>59</v>
      </c>
      <c r="H5" s="5" t="s">
        <v>66</v>
      </c>
      <c r="I5" s="5" t="s">
        <v>70</v>
      </c>
      <c r="J5" s="5" t="s">
        <v>87</v>
      </c>
      <c r="K5" s="5" t="s">
        <v>96</v>
      </c>
      <c r="L5" s="5" t="s">
        <v>105</v>
      </c>
      <c r="M5" s="5" t="s">
        <v>122</v>
      </c>
      <c r="N5" s="5" t="s">
        <v>131</v>
      </c>
      <c r="O5" s="55" t="s">
        <v>161</v>
      </c>
      <c r="P5" s="55" t="s">
        <v>175</v>
      </c>
      <c r="Q5" s="55" t="s">
        <v>182</v>
      </c>
      <c r="R5" s="55" t="s">
        <v>189</v>
      </c>
      <c r="S5" s="55" t="s">
        <v>210</v>
      </c>
      <c r="T5" s="55" t="s">
        <v>218</v>
      </c>
      <c r="U5" s="55" t="s">
        <v>230</v>
      </c>
      <c r="V5" s="55" t="s">
        <v>230</v>
      </c>
      <c r="W5" s="55" t="s">
        <v>238</v>
      </c>
      <c r="X5" s="47" t="s">
        <v>139</v>
      </c>
      <c r="Y5" s="24"/>
      <c r="AB5" s="8"/>
    </row>
    <row r="6" spans="3:29" s="3" customFormat="1" ht="15.75">
      <c r="C6" s="3" t="s">
        <v>5</v>
      </c>
      <c r="D6" s="9">
        <v>0.353</v>
      </c>
      <c r="E6" s="29">
        <v>0.2799</v>
      </c>
      <c r="F6" s="29">
        <v>0.2129</v>
      </c>
      <c r="G6" s="29">
        <v>0.199</v>
      </c>
      <c r="H6" s="29">
        <v>0.2316</v>
      </c>
      <c r="I6" s="29">
        <v>0.2079</v>
      </c>
      <c r="J6" s="29">
        <v>0.1949</v>
      </c>
      <c r="K6" s="29">
        <v>0.1627</v>
      </c>
      <c r="L6" s="29">
        <v>0.1942</v>
      </c>
      <c r="M6" s="29">
        <v>0.2018</v>
      </c>
      <c r="N6" s="29">
        <v>0.2076</v>
      </c>
      <c r="O6" s="54">
        <v>0.1905</v>
      </c>
      <c r="P6" s="54">
        <v>0.2024</v>
      </c>
      <c r="Q6" s="54">
        <v>0.1872</v>
      </c>
      <c r="R6" s="54">
        <v>0.2225</v>
      </c>
      <c r="S6" s="54">
        <v>0.2379</v>
      </c>
      <c r="T6" s="54">
        <v>0.213</v>
      </c>
      <c r="U6" s="54">
        <v>0.2115</v>
      </c>
      <c r="V6" s="54">
        <v>0.2</v>
      </c>
      <c r="W6" s="54">
        <v>0.215</v>
      </c>
      <c r="X6" s="48" t="s">
        <v>140</v>
      </c>
      <c r="Y6" s="24" t="s">
        <v>119</v>
      </c>
      <c r="AB6" s="37"/>
      <c r="AC6" s="3">
        <f>AB7-AC7</f>
        <v>1834149.4200000004</v>
      </c>
    </row>
    <row r="7" spans="3:30" s="3" customFormat="1" ht="15.75">
      <c r="C7" s="3" t="s">
        <v>78</v>
      </c>
      <c r="D7" s="5" t="s">
        <v>6</v>
      </c>
      <c r="E7" s="5" t="s">
        <v>50</v>
      </c>
      <c r="F7" s="5" t="s">
        <v>51</v>
      </c>
      <c r="G7" s="5" t="s">
        <v>60</v>
      </c>
      <c r="H7" s="5" t="s">
        <v>65</v>
      </c>
      <c r="I7" s="5" t="s">
        <v>71</v>
      </c>
      <c r="J7" s="5" t="s">
        <v>71</v>
      </c>
      <c r="K7" s="5" t="s">
        <v>98</v>
      </c>
      <c r="L7" s="5" t="s">
        <v>107</v>
      </c>
      <c r="M7" s="5" t="s">
        <v>124</v>
      </c>
      <c r="N7" s="5" t="s">
        <v>135</v>
      </c>
      <c r="O7" s="5" t="s">
        <v>171</v>
      </c>
      <c r="P7" s="5" t="s">
        <v>177</v>
      </c>
      <c r="Q7" s="5" t="s">
        <v>183</v>
      </c>
      <c r="R7" s="5" t="s">
        <v>191</v>
      </c>
      <c r="S7" s="5" t="s">
        <v>211</v>
      </c>
      <c r="T7" s="5" t="s">
        <v>219</v>
      </c>
      <c r="U7" s="5" t="s">
        <v>235</v>
      </c>
      <c r="V7" s="5" t="s">
        <v>235</v>
      </c>
      <c r="W7" s="5" t="s">
        <v>240</v>
      </c>
      <c r="X7" s="5"/>
      <c r="Y7" s="46"/>
      <c r="Z7" s="4">
        <v>5</v>
      </c>
      <c r="AB7" s="3">
        <f>8.55*22070*12</f>
        <v>2264382.0000000005</v>
      </c>
      <c r="AC7" s="3">
        <f>AB7*0.19</f>
        <v>430232.5800000001</v>
      </c>
      <c r="AD7" s="37">
        <f>AC6-W8</f>
        <v>-41103.1679999996</v>
      </c>
    </row>
    <row r="8" spans="2:28" ht="15.75">
      <c r="B8" s="1">
        <v>1</v>
      </c>
      <c r="C8" s="1" t="s">
        <v>7</v>
      </c>
      <c r="D8" s="11">
        <v>952516</v>
      </c>
      <c r="E8" s="11">
        <v>1078962</v>
      </c>
      <c r="F8" s="11">
        <f>1200419-2404</f>
        <v>1198015</v>
      </c>
      <c r="G8" s="11">
        <v>1242510</v>
      </c>
      <c r="H8" s="11">
        <v>1220162</v>
      </c>
      <c r="I8" s="11">
        <v>1310513</v>
      </c>
      <c r="J8" s="11">
        <v>1332061</v>
      </c>
      <c r="K8" s="11">
        <v>1399246</v>
      </c>
      <c r="L8" s="11">
        <v>1361276</v>
      </c>
      <c r="M8" s="11">
        <v>1391429</v>
      </c>
      <c r="N8" s="11">
        <v>1427124</v>
      </c>
      <c r="O8" s="11">
        <v>1532803</v>
      </c>
      <c r="P8" s="11">
        <v>1552554</v>
      </c>
      <c r="Q8" s="11">
        <v>1625225</v>
      </c>
      <c r="R8" s="11">
        <f>1626337+443</f>
        <v>1626780</v>
      </c>
      <c r="S8" s="11">
        <v>1644944</v>
      </c>
      <c r="T8" s="11">
        <v>1750735</v>
      </c>
      <c r="U8" s="11">
        <v>1785385</v>
      </c>
      <c r="V8" s="11">
        <f>(8.55*22070*12)*0.8</f>
        <v>1811505.6000000006</v>
      </c>
      <c r="W8" s="11">
        <f>(9.02*22070*12)*0.785</f>
        <v>1875252.588</v>
      </c>
      <c r="X8" s="30" t="s">
        <v>141</v>
      </c>
      <c r="Y8" s="24" t="s">
        <v>241</v>
      </c>
      <c r="Z8" s="12">
        <f>((2700*7*12)+(18000*7*12))*0.85-6</f>
        <v>1477974</v>
      </c>
      <c r="AA8" s="2"/>
      <c r="AB8" s="2">
        <v>0</v>
      </c>
    </row>
    <row r="9" spans="2:30" ht="15.75">
      <c r="B9" s="1">
        <f aca="true" t="shared" si="0" ref="B9:B46">B8+1</f>
        <v>2</v>
      </c>
      <c r="C9" s="1" t="s">
        <v>8</v>
      </c>
      <c r="D9" s="11">
        <v>408029</v>
      </c>
      <c r="E9" s="11">
        <v>386837</v>
      </c>
      <c r="F9" s="11">
        <v>307147</v>
      </c>
      <c r="G9" s="11">
        <v>268945</v>
      </c>
      <c r="H9" s="11">
        <v>243965</v>
      </c>
      <c r="I9" s="11">
        <v>97670</v>
      </c>
      <c r="J9" s="11">
        <v>52562</v>
      </c>
      <c r="K9" s="11">
        <v>100623</v>
      </c>
      <c r="L9" s="11">
        <v>144229</v>
      </c>
      <c r="M9" s="11">
        <v>157851</v>
      </c>
      <c r="N9" s="11">
        <v>177190</v>
      </c>
      <c r="O9" s="11">
        <v>228103</v>
      </c>
      <c r="P9" s="11">
        <v>288794</v>
      </c>
      <c r="Q9" s="11">
        <v>282371</v>
      </c>
      <c r="R9" s="11">
        <v>277828</v>
      </c>
      <c r="S9" s="11">
        <v>254746</v>
      </c>
      <c r="T9" s="11">
        <v>285457</v>
      </c>
      <c r="U9" s="11">
        <v>290000</v>
      </c>
      <c r="V9" s="11">
        <f>273162*1.0202</f>
        <v>278679.8724</v>
      </c>
      <c r="W9" s="11">
        <f>278680*1.0552</f>
        <v>294063.136</v>
      </c>
      <c r="X9" s="30" t="s">
        <v>141</v>
      </c>
      <c r="Y9" s="24" t="s">
        <v>267</v>
      </c>
      <c r="Z9" s="13"/>
      <c r="AB9" s="40">
        <f>AB7-U8</f>
        <v>478997.00000000047</v>
      </c>
      <c r="AD9" s="1">
        <f>1.25*1.0308</f>
        <v>1.2885</v>
      </c>
    </row>
    <row r="10" spans="2:28" ht="15.75">
      <c r="B10" s="1">
        <f t="shared" si="0"/>
        <v>3</v>
      </c>
      <c r="C10" s="1" t="s">
        <v>11</v>
      </c>
      <c r="D10" s="11">
        <v>29199</v>
      </c>
      <c r="E10" s="11">
        <v>22764</v>
      </c>
      <c r="F10" s="11">
        <v>15973</v>
      </c>
      <c r="G10" s="11">
        <v>7784</v>
      </c>
      <c r="H10" s="11">
        <v>9875</v>
      </c>
      <c r="I10" s="11">
        <v>20657</v>
      </c>
      <c r="J10" s="11">
        <v>35509</v>
      </c>
      <c r="K10" s="11">
        <v>50353</v>
      </c>
      <c r="L10" s="11">
        <v>52449</v>
      </c>
      <c r="M10" s="11">
        <v>60500</v>
      </c>
      <c r="N10" s="11">
        <v>64865</v>
      </c>
      <c r="O10" s="11">
        <v>46460</v>
      </c>
      <c r="P10" s="11">
        <v>37639</v>
      </c>
      <c r="Q10" s="11">
        <v>24750</v>
      </c>
      <c r="R10" s="11">
        <v>52720</v>
      </c>
      <c r="S10" s="11">
        <v>38852</v>
      </c>
      <c r="T10" s="11">
        <v>23093</v>
      </c>
      <c r="U10" s="11">
        <v>25000</v>
      </c>
      <c r="V10" s="11">
        <v>50000</v>
      </c>
      <c r="W10" s="11">
        <v>30000</v>
      </c>
      <c r="X10" s="30" t="s">
        <v>141</v>
      </c>
      <c r="Y10" s="24" t="s">
        <v>227</v>
      </c>
      <c r="AB10" s="29">
        <f>AB9/AB7</f>
        <v>0.2115354211436058</v>
      </c>
    </row>
    <row r="11" spans="2:26" ht="15.75">
      <c r="B11" s="1">
        <f t="shared" si="0"/>
        <v>4</v>
      </c>
      <c r="C11" s="1" t="s">
        <v>9</v>
      </c>
      <c r="D11" s="11">
        <f>-25217-2788</f>
        <v>-28005</v>
      </c>
      <c r="E11" s="11">
        <f>-25804-1656</f>
        <v>-27460</v>
      </c>
      <c r="F11" s="11">
        <f>-18227-1349</f>
        <v>-19576</v>
      </c>
      <c r="G11" s="11">
        <f>-12999-2183</f>
        <v>-15182</v>
      </c>
      <c r="H11" s="11">
        <f>-13986-2116</f>
        <v>-16102</v>
      </c>
      <c r="I11" s="11">
        <v>-15595</v>
      </c>
      <c r="J11" s="11">
        <f>-12576-3392</f>
        <v>-15968</v>
      </c>
      <c r="K11" s="11">
        <f>-10910-2938</f>
        <v>-13848</v>
      </c>
      <c r="L11" s="11">
        <f>-8750-1689</f>
        <v>-10439</v>
      </c>
      <c r="M11" s="11">
        <f>-8895-1935</f>
        <v>-10830</v>
      </c>
      <c r="N11" s="11">
        <f>-4472-2489</f>
        <v>-6961</v>
      </c>
      <c r="O11" s="11">
        <f>-5681-945</f>
        <v>-6626</v>
      </c>
      <c r="P11" s="11">
        <f>-4818</f>
        <v>-4818</v>
      </c>
      <c r="Q11" s="11">
        <f>-2059-1211</f>
        <v>-3270</v>
      </c>
      <c r="R11" s="11">
        <v>-2499</v>
      </c>
      <c r="S11" s="11">
        <v>-1890</v>
      </c>
      <c r="T11" s="11">
        <f>-2769-557</f>
        <v>-3326</v>
      </c>
      <c r="U11" s="11">
        <v>-3000</v>
      </c>
      <c r="V11" s="11">
        <v>-3500</v>
      </c>
      <c r="W11" s="11">
        <v>-3000</v>
      </c>
      <c r="X11" s="49" t="s">
        <v>141</v>
      </c>
      <c r="Y11" s="24" t="s">
        <v>236</v>
      </c>
      <c r="Z11" s="2"/>
    </row>
    <row r="12" spans="2:25" ht="15.75">
      <c r="B12" s="1">
        <f t="shared" si="0"/>
        <v>5</v>
      </c>
      <c r="C12" s="1" t="s">
        <v>10</v>
      </c>
      <c r="D12" s="11">
        <v>-21435</v>
      </c>
      <c r="E12" s="11">
        <v>-19666</v>
      </c>
      <c r="F12" s="11">
        <f>-15157</f>
        <v>-15157</v>
      </c>
      <c r="G12" s="11">
        <v>-17892</v>
      </c>
      <c r="H12" s="11">
        <v>-18959</v>
      </c>
      <c r="I12" s="11">
        <v>-17695</v>
      </c>
      <c r="J12" s="11">
        <v>-16457</v>
      </c>
      <c r="K12" s="11">
        <v>-17735</v>
      </c>
      <c r="L12" s="11">
        <v>-15982</v>
      </c>
      <c r="M12" s="11">
        <f>-15543</f>
        <v>-15543</v>
      </c>
      <c r="N12" s="11">
        <v>-14596</v>
      </c>
      <c r="O12" s="11">
        <v>-14439</v>
      </c>
      <c r="P12" s="11">
        <v>-13125</v>
      </c>
      <c r="Q12" s="11">
        <v>-13080</v>
      </c>
      <c r="R12" s="11">
        <v>-13446</v>
      </c>
      <c r="S12" s="11">
        <v>-12574</v>
      </c>
      <c r="T12" s="11">
        <v>-12123</v>
      </c>
      <c r="U12" s="11">
        <v>-12000</v>
      </c>
      <c r="V12" s="11">
        <v>-12000</v>
      </c>
      <c r="W12" s="11">
        <v>-12750</v>
      </c>
      <c r="X12" s="50" t="s">
        <v>141</v>
      </c>
      <c r="Y12" s="24" t="s">
        <v>152</v>
      </c>
    </row>
    <row r="13" spans="2:25" ht="15.75">
      <c r="B13" s="1">
        <f t="shared" si="0"/>
        <v>6</v>
      </c>
      <c r="C13" s="1" t="s">
        <v>118</v>
      </c>
      <c r="D13" s="11">
        <v>35727</v>
      </c>
      <c r="E13" s="11">
        <v>43434</v>
      </c>
      <c r="F13" s="11">
        <v>79767</v>
      </c>
      <c r="G13" s="11">
        <v>78357</v>
      </c>
      <c r="H13" s="11">
        <v>83521</v>
      </c>
      <c r="I13" s="11">
        <v>110845</v>
      </c>
      <c r="J13" s="11">
        <v>105135</v>
      </c>
      <c r="K13" s="11">
        <v>96300</v>
      </c>
      <c r="L13" s="11">
        <v>95790</v>
      </c>
      <c r="M13" s="11">
        <v>92790</v>
      </c>
      <c r="N13" s="11">
        <v>93265</v>
      </c>
      <c r="O13" s="11">
        <v>109950</v>
      </c>
      <c r="P13" s="11">
        <v>118673</v>
      </c>
      <c r="Q13" s="11">
        <v>115715</v>
      </c>
      <c r="R13" s="11">
        <v>119975</v>
      </c>
      <c r="S13" s="11">
        <v>125558</v>
      </c>
      <c r="T13" s="11">
        <v>128895</v>
      </c>
      <c r="U13" s="11">
        <v>135000</v>
      </c>
      <c r="V13" s="11">
        <v>133000</v>
      </c>
      <c r="W13" s="11">
        <f>133000*1.0552</f>
        <v>140341.59999999998</v>
      </c>
      <c r="X13" s="30" t="s">
        <v>141</v>
      </c>
      <c r="Y13" s="24" t="s">
        <v>268</v>
      </c>
    </row>
    <row r="14" spans="2:25" ht="15.75">
      <c r="B14" s="1">
        <f t="shared" si="0"/>
        <v>7</v>
      </c>
      <c r="C14" s="1" t="s">
        <v>12</v>
      </c>
      <c r="D14" s="11">
        <v>2700</v>
      </c>
      <c r="E14" s="11">
        <v>1830</v>
      </c>
      <c r="F14" s="11">
        <v>1950</v>
      </c>
      <c r="G14" s="11">
        <v>2475</v>
      </c>
      <c r="H14" s="11">
        <v>2250</v>
      </c>
      <c r="I14" s="11">
        <v>1650</v>
      </c>
      <c r="J14" s="11">
        <v>2100</v>
      </c>
      <c r="K14" s="11">
        <v>750</v>
      </c>
      <c r="L14" s="11">
        <v>1800</v>
      </c>
      <c r="M14" s="11">
        <v>1500</v>
      </c>
      <c r="N14" s="11">
        <v>1800</v>
      </c>
      <c r="O14" s="11">
        <v>900</v>
      </c>
      <c r="P14" s="11">
        <v>450</v>
      </c>
      <c r="Q14" s="11">
        <v>150</v>
      </c>
      <c r="R14" s="11">
        <v>450</v>
      </c>
      <c r="S14" s="11">
        <v>900</v>
      </c>
      <c r="T14" s="11">
        <v>600</v>
      </c>
      <c r="U14" s="11">
        <v>600</v>
      </c>
      <c r="V14" s="11">
        <v>600</v>
      </c>
      <c r="W14" s="11">
        <v>600</v>
      </c>
      <c r="X14" s="30" t="s">
        <v>141</v>
      </c>
      <c r="Y14" s="24" t="s">
        <v>269</v>
      </c>
    </row>
    <row r="15" spans="2:25" ht="15.75">
      <c r="B15" s="1">
        <f t="shared" si="0"/>
        <v>8</v>
      </c>
      <c r="C15" s="1" t="s">
        <v>101</v>
      </c>
      <c r="D15" s="11">
        <v>0</v>
      </c>
      <c r="E15" s="11">
        <v>1400</v>
      </c>
      <c r="F15" s="11">
        <v>2000</v>
      </c>
      <c r="G15" s="11">
        <v>800</v>
      </c>
      <c r="H15" s="11">
        <v>600</v>
      </c>
      <c r="I15" s="11">
        <v>1000</v>
      </c>
      <c r="J15" s="11">
        <v>1000</v>
      </c>
      <c r="K15" s="11">
        <v>1150</v>
      </c>
      <c r="L15" s="11">
        <v>400</v>
      </c>
      <c r="M15" s="11">
        <v>400</v>
      </c>
      <c r="N15" s="11">
        <v>950</v>
      </c>
      <c r="O15" s="11">
        <v>1000</v>
      </c>
      <c r="P15" s="11">
        <v>1000</v>
      </c>
      <c r="Q15" s="11">
        <v>600</v>
      </c>
      <c r="R15" s="11">
        <v>400</v>
      </c>
      <c r="S15" s="11">
        <v>1850</v>
      </c>
      <c r="T15" s="11">
        <v>1600</v>
      </c>
      <c r="U15" s="11">
        <v>750</v>
      </c>
      <c r="V15" s="11">
        <v>800</v>
      </c>
      <c r="W15" s="11">
        <v>1000</v>
      </c>
      <c r="X15" s="30" t="s">
        <v>141</v>
      </c>
      <c r="Y15" s="24" t="s">
        <v>58</v>
      </c>
    </row>
    <row r="16" spans="2:29" ht="15.75">
      <c r="B16" s="1">
        <f t="shared" si="0"/>
        <v>9</v>
      </c>
      <c r="C16" s="1" t="s">
        <v>153</v>
      </c>
      <c r="D16" s="11">
        <v>3577</v>
      </c>
      <c r="E16" s="11">
        <v>4192</v>
      </c>
      <c r="F16" s="11">
        <v>4517</v>
      </c>
      <c r="G16" s="11">
        <v>1610</v>
      </c>
      <c r="H16" s="11">
        <v>154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30" t="s">
        <v>133</v>
      </c>
      <c r="Y16" s="24" t="s">
        <v>145</v>
      </c>
      <c r="AC16" s="14"/>
    </row>
    <row r="17" spans="2:25" ht="15.75">
      <c r="B17" s="1">
        <f t="shared" si="0"/>
        <v>10</v>
      </c>
      <c r="C17" s="1" t="s">
        <v>126</v>
      </c>
      <c r="D17" s="11">
        <v>7705</v>
      </c>
      <c r="E17" s="11">
        <v>14070</v>
      </c>
      <c r="F17" s="11">
        <v>9125</v>
      </c>
      <c r="G17" s="11">
        <v>6136</v>
      </c>
      <c r="H17" s="11">
        <v>10305</v>
      </c>
      <c r="I17" s="11">
        <v>7225</v>
      </c>
      <c r="J17" s="11">
        <v>5262</v>
      </c>
      <c r="K17" s="11">
        <v>4743</v>
      </c>
      <c r="L17" s="11">
        <v>6867</v>
      </c>
      <c r="M17" s="11">
        <v>8999</v>
      </c>
      <c r="N17" s="11">
        <v>10895</v>
      </c>
      <c r="O17" s="11">
        <v>8527</v>
      </c>
      <c r="P17" s="11">
        <v>9587</v>
      </c>
      <c r="Q17" s="11">
        <v>7525</v>
      </c>
      <c r="R17" s="11">
        <v>10375</v>
      </c>
      <c r="S17" s="11">
        <v>5625</v>
      </c>
      <c r="T17" s="11">
        <v>9603</v>
      </c>
      <c r="U17" s="11">
        <v>10000</v>
      </c>
      <c r="V17" s="11">
        <v>6500</v>
      </c>
      <c r="W17" s="11">
        <v>7500</v>
      </c>
      <c r="X17" s="30" t="s">
        <v>133</v>
      </c>
      <c r="Y17" s="24" t="s">
        <v>154</v>
      </c>
    </row>
    <row r="18" spans="2:28" ht="15.75">
      <c r="B18" s="1">
        <f t="shared" si="0"/>
        <v>11</v>
      </c>
      <c r="C18" s="1" t="s">
        <v>72</v>
      </c>
      <c r="D18" s="11"/>
      <c r="E18" s="11"/>
      <c r="F18" s="11">
        <f>9020+25020</f>
        <v>34040</v>
      </c>
      <c r="G18" s="11">
        <v>15175</v>
      </c>
      <c r="H18" s="11">
        <v>7330</v>
      </c>
      <c r="I18" s="11">
        <v>4165</v>
      </c>
      <c r="J18" s="11">
        <v>780</v>
      </c>
      <c r="K18" s="11">
        <v>0</v>
      </c>
      <c r="L18" s="11">
        <v>648</v>
      </c>
      <c r="M18" s="11">
        <v>1308</v>
      </c>
      <c r="N18" s="11">
        <v>1358</v>
      </c>
      <c r="O18" s="11">
        <v>700</v>
      </c>
      <c r="P18" s="11">
        <f>13180-2312</f>
        <v>10868</v>
      </c>
      <c r="Q18" s="11">
        <v>560</v>
      </c>
      <c r="R18" s="11">
        <v>2985</v>
      </c>
      <c r="S18" s="11">
        <v>1790</v>
      </c>
      <c r="T18" s="11">
        <v>200</v>
      </c>
      <c r="U18" s="11">
        <v>500</v>
      </c>
      <c r="V18" s="11">
        <v>2000</v>
      </c>
      <c r="W18" s="11">
        <v>2000</v>
      </c>
      <c r="X18" s="30" t="s">
        <v>133</v>
      </c>
      <c r="Z18" s="15"/>
      <c r="AB18" s="56"/>
    </row>
    <row r="19" spans="2:25" ht="15.75">
      <c r="B19" s="1">
        <f t="shared" si="0"/>
        <v>12</v>
      </c>
      <c r="C19" s="1" t="s">
        <v>14</v>
      </c>
      <c r="D19" s="11">
        <v>37333</v>
      </c>
      <c r="E19" s="11">
        <v>47350</v>
      </c>
      <c r="F19" s="11">
        <v>44391</v>
      </c>
      <c r="G19" s="11">
        <v>41157</v>
      </c>
      <c r="H19" s="11">
        <v>39085</v>
      </c>
      <c r="I19" s="11">
        <v>31013</v>
      </c>
      <c r="J19" s="11">
        <v>31232</v>
      </c>
      <c r="K19" s="11">
        <v>35996</v>
      </c>
      <c r="L19" s="11">
        <v>30408</v>
      </c>
      <c r="M19" s="11">
        <v>25670</v>
      </c>
      <c r="N19" s="11">
        <v>26681</v>
      </c>
      <c r="O19" s="11">
        <v>28395</v>
      </c>
      <c r="P19" s="11">
        <v>31778</v>
      </c>
      <c r="Q19" s="11">
        <v>38330</v>
      </c>
      <c r="R19" s="11">
        <v>42172</v>
      </c>
      <c r="S19" s="11">
        <v>24540</v>
      </c>
      <c r="T19" s="11">
        <v>33510</v>
      </c>
      <c r="U19" s="11">
        <v>34000</v>
      </c>
      <c r="V19" s="11">
        <v>35000</v>
      </c>
      <c r="W19" s="11">
        <f>34000*1.085</f>
        <v>36890</v>
      </c>
      <c r="X19" s="30" t="s">
        <v>133</v>
      </c>
      <c r="Y19" s="24" t="s">
        <v>271</v>
      </c>
    </row>
    <row r="20" spans="2:25" s="3" customFormat="1" ht="15.75">
      <c r="B20" s="39">
        <f t="shared" si="0"/>
        <v>13</v>
      </c>
      <c r="C20" s="3" t="s">
        <v>15</v>
      </c>
      <c r="D20" s="16">
        <f aca="true" t="shared" si="1" ref="D20:N20">SUM(D8:D19)</f>
        <v>1427346</v>
      </c>
      <c r="E20" s="16">
        <f t="shared" si="1"/>
        <v>1553713</v>
      </c>
      <c r="F20" s="16">
        <f t="shared" si="1"/>
        <v>1662192</v>
      </c>
      <c r="G20" s="16">
        <f t="shared" si="1"/>
        <v>1631875</v>
      </c>
      <c r="H20" s="16">
        <f t="shared" si="1"/>
        <v>1582186</v>
      </c>
      <c r="I20" s="16">
        <f t="shared" si="1"/>
        <v>1551448</v>
      </c>
      <c r="J20" s="16">
        <f t="shared" si="1"/>
        <v>1533216</v>
      </c>
      <c r="K20" s="16">
        <f t="shared" si="1"/>
        <v>1657578</v>
      </c>
      <c r="L20" s="16">
        <f t="shared" si="1"/>
        <v>1667446</v>
      </c>
      <c r="M20" s="16">
        <f t="shared" si="1"/>
        <v>1714074</v>
      </c>
      <c r="N20" s="16">
        <f t="shared" si="1"/>
        <v>1782571</v>
      </c>
      <c r="O20" s="16">
        <f aca="true" t="shared" si="2" ref="O20:V20">SUM(O8:O19)</f>
        <v>1935773</v>
      </c>
      <c r="P20" s="16">
        <f t="shared" si="2"/>
        <v>2033400</v>
      </c>
      <c r="Q20" s="16">
        <f t="shared" si="2"/>
        <v>2078876</v>
      </c>
      <c r="R20" s="16">
        <f t="shared" si="2"/>
        <v>2117740</v>
      </c>
      <c r="S20" s="16">
        <f>SUM(S8:S19)</f>
        <v>2084341</v>
      </c>
      <c r="T20" s="16">
        <f>SUM(T8:T19)</f>
        <v>2218244</v>
      </c>
      <c r="U20" s="16">
        <f t="shared" si="2"/>
        <v>2266235</v>
      </c>
      <c r="V20" s="16">
        <f t="shared" si="2"/>
        <v>2302585.4724000003</v>
      </c>
      <c r="W20" s="16">
        <f>SUM(W8:W19)</f>
        <v>2371897.324</v>
      </c>
      <c r="X20" s="30"/>
      <c r="Y20" s="24"/>
    </row>
    <row r="21" spans="2:25" s="3" customFormat="1" ht="15.75">
      <c r="B21" s="39">
        <f t="shared" si="0"/>
        <v>14</v>
      </c>
      <c r="C21" s="3" t="s">
        <v>173</v>
      </c>
      <c r="D21" s="10"/>
      <c r="E21" s="10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53"/>
      <c r="Y21" s="24"/>
    </row>
    <row r="22" spans="2:25" ht="15.75">
      <c r="B22" s="39">
        <f t="shared" si="0"/>
        <v>15</v>
      </c>
      <c r="C22" s="1" t="s">
        <v>127</v>
      </c>
      <c r="D22" s="11">
        <f>15961+3192</f>
        <v>19153</v>
      </c>
      <c r="E22" s="11">
        <f>19489-3192</f>
        <v>16297</v>
      </c>
      <c r="F22" s="11">
        <v>20040</v>
      </c>
      <c r="G22" s="11">
        <v>20678</v>
      </c>
      <c r="H22" s="11">
        <v>20096</v>
      </c>
      <c r="I22" s="11">
        <f>22542-1044</f>
        <v>21498</v>
      </c>
      <c r="J22" s="11">
        <v>21799</v>
      </c>
      <c r="K22" s="11">
        <v>22493</v>
      </c>
      <c r="L22" s="11">
        <v>22529</v>
      </c>
      <c r="M22" s="11">
        <v>22850</v>
      </c>
      <c r="N22" s="11">
        <v>23930</v>
      </c>
      <c r="O22" s="38">
        <v>25297</v>
      </c>
      <c r="P22" s="38">
        <v>25667</v>
      </c>
      <c r="Q22" s="38">
        <v>28713</v>
      </c>
      <c r="R22" s="38">
        <v>28254</v>
      </c>
      <c r="S22" s="38">
        <f>28961</f>
        <v>28961</v>
      </c>
      <c r="T22" s="38">
        <v>29058</v>
      </c>
      <c r="U22" s="38">
        <v>30132</v>
      </c>
      <c r="V22" s="38">
        <f>29541*1.02</f>
        <v>30131.82</v>
      </c>
      <c r="W22" s="11">
        <f>30132*1.0636</f>
        <v>32048.395200000003</v>
      </c>
      <c r="X22" s="49" t="s">
        <v>141</v>
      </c>
      <c r="Y22" s="41" t="s">
        <v>180</v>
      </c>
    </row>
    <row r="23" spans="2:25" ht="15.75">
      <c r="B23" s="39">
        <f t="shared" si="0"/>
        <v>16</v>
      </c>
      <c r="C23" s="1" t="s">
        <v>63</v>
      </c>
      <c r="D23" s="11"/>
      <c r="E23" s="11"/>
      <c r="F23" s="11"/>
      <c r="G23" s="11">
        <v>1011</v>
      </c>
      <c r="H23" s="11">
        <v>1044</v>
      </c>
      <c r="I23" s="11">
        <v>1044</v>
      </c>
      <c r="J23" s="11">
        <v>1086</v>
      </c>
      <c r="K23" s="11">
        <v>2183</v>
      </c>
      <c r="L23" s="11">
        <v>1097</v>
      </c>
      <c r="M23" s="11">
        <v>1156</v>
      </c>
      <c r="N23" s="11">
        <v>1182</v>
      </c>
      <c r="O23" s="38">
        <v>1247</v>
      </c>
      <c r="P23" s="38">
        <v>1285</v>
      </c>
      <c r="Q23" s="38">
        <v>1326</v>
      </c>
      <c r="R23" s="38">
        <v>1378</v>
      </c>
      <c r="S23" s="38">
        <v>1378</v>
      </c>
      <c r="T23" s="38">
        <v>1421</v>
      </c>
      <c r="U23" s="38">
        <v>1449</v>
      </c>
      <c r="V23" s="38">
        <f>1421*1.02</f>
        <v>1449.42</v>
      </c>
      <c r="W23" s="11">
        <f>1449*1.0636</f>
        <v>1541.1564</v>
      </c>
      <c r="X23" s="49" t="s">
        <v>141</v>
      </c>
      <c r="Y23" s="41" t="s">
        <v>195</v>
      </c>
    </row>
    <row r="24" spans="2:25" ht="15.75">
      <c r="B24" s="39">
        <f t="shared" si="0"/>
        <v>17</v>
      </c>
      <c r="C24" s="1" t="s">
        <v>233</v>
      </c>
      <c r="D24" s="11"/>
      <c r="E24" s="11"/>
      <c r="F24" s="2">
        <v>57200</v>
      </c>
      <c r="G24" s="11">
        <v>25800</v>
      </c>
      <c r="H24" s="11">
        <v>52299</v>
      </c>
      <c r="I24" s="11">
        <v>52362</v>
      </c>
      <c r="J24" s="11">
        <f>54647-1086</f>
        <v>53561</v>
      </c>
      <c r="K24" s="11">
        <v>55206</v>
      </c>
      <c r="L24" s="11">
        <v>55914</v>
      </c>
      <c r="M24" s="11">
        <v>56418</v>
      </c>
      <c r="N24" s="11">
        <v>59830</v>
      </c>
      <c r="O24" s="38">
        <v>61795</v>
      </c>
      <c r="P24" s="38">
        <v>63595</v>
      </c>
      <c r="Q24" s="38">
        <v>65533</v>
      </c>
      <c r="R24" s="38">
        <v>67716</v>
      </c>
      <c r="S24" s="38">
        <f>67716*1.02</f>
        <v>69070.32</v>
      </c>
      <c r="T24" s="38">
        <v>72437</v>
      </c>
      <c r="U24" s="38">
        <v>73480</v>
      </c>
      <c r="V24" s="38">
        <v>73480</v>
      </c>
      <c r="W24" s="11">
        <f>73480*1.0636</f>
        <v>78153.32800000001</v>
      </c>
      <c r="X24" s="49" t="s">
        <v>141</v>
      </c>
      <c r="Y24" s="41" t="s">
        <v>181</v>
      </c>
    </row>
    <row r="25" spans="2:28" s="3" customFormat="1" ht="15.75">
      <c r="B25" s="39">
        <f t="shared" si="0"/>
        <v>18</v>
      </c>
      <c r="C25" s="3" t="s">
        <v>174</v>
      </c>
      <c r="D25" s="16">
        <f aca="true" t="shared" si="3" ref="D25:W25">SUM(D22:D24)</f>
        <v>19153</v>
      </c>
      <c r="E25" s="16">
        <f t="shared" si="3"/>
        <v>16297</v>
      </c>
      <c r="F25" s="16">
        <f t="shared" si="3"/>
        <v>77240</v>
      </c>
      <c r="G25" s="16">
        <f t="shared" si="3"/>
        <v>47489</v>
      </c>
      <c r="H25" s="16">
        <f t="shared" si="3"/>
        <v>73439</v>
      </c>
      <c r="I25" s="16">
        <f t="shared" si="3"/>
        <v>74904</v>
      </c>
      <c r="J25" s="16">
        <f t="shared" si="3"/>
        <v>76446</v>
      </c>
      <c r="K25" s="16">
        <f t="shared" si="3"/>
        <v>79882</v>
      </c>
      <c r="L25" s="16">
        <f t="shared" si="3"/>
        <v>79540</v>
      </c>
      <c r="M25" s="16">
        <f t="shared" si="3"/>
        <v>80424</v>
      </c>
      <c r="N25" s="16">
        <f t="shared" si="3"/>
        <v>84942</v>
      </c>
      <c r="O25" s="16">
        <f aca="true" t="shared" si="4" ref="O25:V25">SUM(O22:O24)</f>
        <v>88339</v>
      </c>
      <c r="P25" s="16">
        <f t="shared" si="4"/>
        <v>90547</v>
      </c>
      <c r="Q25" s="16">
        <f t="shared" si="4"/>
        <v>95572</v>
      </c>
      <c r="R25" s="16">
        <f t="shared" si="4"/>
        <v>97348</v>
      </c>
      <c r="S25" s="16">
        <f>SUM(S22:S24)</f>
        <v>99409.32</v>
      </c>
      <c r="T25" s="16">
        <f>SUM(T22:T24)</f>
        <v>102916</v>
      </c>
      <c r="U25" s="16">
        <f t="shared" si="4"/>
        <v>105061</v>
      </c>
      <c r="V25" s="16">
        <f t="shared" si="4"/>
        <v>105061.23999999999</v>
      </c>
      <c r="W25" s="16">
        <f t="shared" si="3"/>
        <v>111742.87960000001</v>
      </c>
      <c r="X25" s="51"/>
      <c r="Y25" s="24"/>
      <c r="AB25" s="3">
        <f>4.24*0.5+4.24</f>
        <v>6.36</v>
      </c>
    </row>
    <row r="26" spans="2:28" s="3" customFormat="1" ht="15.75">
      <c r="B26" s="39">
        <f t="shared" si="0"/>
        <v>19</v>
      </c>
      <c r="C26" s="3" t="s">
        <v>77</v>
      </c>
      <c r="D26" s="10"/>
      <c r="E26" s="10"/>
      <c r="F26" s="8"/>
      <c r="G26" s="8"/>
      <c r="H26" s="8"/>
      <c r="I26" s="8"/>
      <c r="J26" s="8"/>
      <c r="K26" s="8"/>
      <c r="L26" s="8"/>
      <c r="M26" s="8"/>
      <c r="N26" s="8"/>
      <c r="O26" s="10" t="s">
        <v>88</v>
      </c>
      <c r="P26" s="10" t="s">
        <v>88</v>
      </c>
      <c r="Q26" s="10" t="s">
        <v>88</v>
      </c>
      <c r="R26" s="10" t="s">
        <v>88</v>
      </c>
      <c r="S26" s="10" t="s">
        <v>88</v>
      </c>
      <c r="T26" s="10" t="s">
        <v>88</v>
      </c>
      <c r="U26" s="10" t="s">
        <v>88</v>
      </c>
      <c r="V26" s="10"/>
      <c r="W26" s="10"/>
      <c r="X26" s="53"/>
      <c r="Y26" s="24"/>
      <c r="AB26" s="3" t="s">
        <v>243</v>
      </c>
    </row>
    <row r="27" spans="2:28" ht="15.75">
      <c r="B27" s="39">
        <f t="shared" si="0"/>
        <v>20</v>
      </c>
      <c r="C27" s="1" t="s">
        <v>120</v>
      </c>
      <c r="D27" s="11">
        <f>59888+13860</f>
        <v>73748</v>
      </c>
      <c r="E27" s="1"/>
      <c r="F27" s="1"/>
      <c r="G27" s="1">
        <v>74130</v>
      </c>
      <c r="H27" s="1">
        <v>76601</v>
      </c>
      <c r="I27" s="11">
        <f>13214+71692</f>
        <v>84906</v>
      </c>
      <c r="J27" s="11">
        <f>90192-6956</f>
        <v>83236</v>
      </c>
      <c r="K27" s="11">
        <v>82951</v>
      </c>
      <c r="L27" s="11">
        <v>74680</v>
      </c>
      <c r="M27" s="11">
        <v>76656</v>
      </c>
      <c r="N27" s="11">
        <f>58703+6603*3</f>
        <v>78512</v>
      </c>
      <c r="O27" s="11">
        <v>82549</v>
      </c>
      <c r="P27" s="11">
        <v>85080</v>
      </c>
      <c r="Q27" s="11">
        <v>88440</v>
      </c>
      <c r="R27" s="11">
        <v>90216</v>
      </c>
      <c r="S27" s="11">
        <v>93555</v>
      </c>
      <c r="T27" s="11">
        <f>103360-8090</f>
        <v>95270</v>
      </c>
      <c r="U27" s="11">
        <v>97577</v>
      </c>
      <c r="V27" s="11">
        <f>8091*6+8091*1.01*6</f>
        <v>97577.45999999999</v>
      </c>
      <c r="W27" s="11">
        <f>8433.95*1.0636*12</f>
        <v>107644.19064000002</v>
      </c>
      <c r="X27" s="49" t="s">
        <v>133</v>
      </c>
      <c r="Y27" s="41" t="s">
        <v>244</v>
      </c>
      <c r="AB27" s="33" t="s">
        <v>242</v>
      </c>
    </row>
    <row r="28" spans="2:28" ht="15.75">
      <c r="B28" s="39">
        <f t="shared" si="0"/>
        <v>21</v>
      </c>
      <c r="C28" s="1" t="s">
        <v>116</v>
      </c>
      <c r="D28" s="11">
        <f>47419+10500</f>
        <v>57919</v>
      </c>
      <c r="E28" s="11">
        <f>46887+10684</f>
        <v>57571</v>
      </c>
      <c r="F28" s="11">
        <v>58793</v>
      </c>
      <c r="G28" s="11">
        <v>59098</v>
      </c>
      <c r="H28" s="11">
        <v>60200</v>
      </c>
      <c r="I28" s="11">
        <v>68077</v>
      </c>
      <c r="J28" s="11">
        <v>70079</v>
      </c>
      <c r="K28" s="11">
        <v>70724</v>
      </c>
      <c r="L28" s="11">
        <v>72394</v>
      </c>
      <c r="M28" s="11">
        <v>74109</v>
      </c>
      <c r="N28" s="11">
        <f>56632+6386*3</f>
        <v>75790</v>
      </c>
      <c r="O28" s="11">
        <v>79834</v>
      </c>
      <c r="P28" s="11">
        <v>81268</v>
      </c>
      <c r="Q28" s="11">
        <v>84413</v>
      </c>
      <c r="R28" s="11">
        <v>88420</v>
      </c>
      <c r="S28" s="11">
        <v>91368</v>
      </c>
      <c r="T28" s="11">
        <v>93283</v>
      </c>
      <c r="U28" s="11">
        <v>94370</v>
      </c>
      <c r="V28" s="11">
        <f>7825*6+7825*1.01*6</f>
        <v>94369.5</v>
      </c>
      <c r="W28" s="11">
        <f>8156.51*1.0636*12</f>
        <v>104103.168432</v>
      </c>
      <c r="X28" s="49" t="s">
        <v>133</v>
      </c>
      <c r="Y28" s="41" t="s">
        <v>245</v>
      </c>
      <c r="AB28" s="33" t="s">
        <v>242</v>
      </c>
    </row>
    <row r="29" spans="2:28" ht="15.75">
      <c r="B29" s="39">
        <f t="shared" si="0"/>
        <v>22</v>
      </c>
      <c r="C29" s="1" t="s">
        <v>115</v>
      </c>
      <c r="D29" s="11">
        <v>13246</v>
      </c>
      <c r="E29" s="11">
        <v>13414</v>
      </c>
      <c r="F29" s="11">
        <v>13543</v>
      </c>
      <c r="G29" s="11">
        <v>14177</v>
      </c>
      <c r="H29" s="11">
        <v>14522</v>
      </c>
      <c r="I29" s="11">
        <v>16611</v>
      </c>
      <c r="J29" s="11">
        <f>1234.68*6+1251.97*6</f>
        <v>14919.9</v>
      </c>
      <c r="K29" s="11">
        <v>14904</v>
      </c>
      <c r="L29" s="11">
        <v>15194</v>
      </c>
      <c r="M29" s="11">
        <v>15459</v>
      </c>
      <c r="N29" s="11">
        <f>11885+1343*3</f>
        <v>15914</v>
      </c>
      <c r="O29" s="11">
        <v>16832</v>
      </c>
      <c r="P29" s="11">
        <v>17268</v>
      </c>
      <c r="Q29" s="11">
        <v>17853</v>
      </c>
      <c r="R29" s="11">
        <v>18147</v>
      </c>
      <c r="S29" s="11">
        <v>18788</v>
      </c>
      <c r="T29" s="11">
        <v>22331</v>
      </c>
      <c r="U29" s="11">
        <v>19899</v>
      </c>
      <c r="V29" s="11">
        <f>1650*6+1650*1.01*6</f>
        <v>19899</v>
      </c>
      <c r="W29" s="11">
        <f>1720.24*1.0636*12</f>
        <v>21955.767168000002</v>
      </c>
      <c r="X29" s="49" t="s">
        <v>133</v>
      </c>
      <c r="Y29" s="41" t="s">
        <v>246</v>
      </c>
      <c r="AB29" s="60" t="s">
        <v>242</v>
      </c>
    </row>
    <row r="30" spans="2:28" ht="15.75">
      <c r="B30" s="39">
        <f t="shared" si="0"/>
        <v>23</v>
      </c>
      <c r="C30" s="1" t="s">
        <v>114</v>
      </c>
      <c r="D30" s="11">
        <f>12732+7086</f>
        <v>19818</v>
      </c>
      <c r="E30" s="11">
        <f>12880+6491-277</f>
        <v>19094</v>
      </c>
      <c r="F30" s="11">
        <v>20751</v>
      </c>
      <c r="G30" s="11">
        <v>19326</v>
      </c>
      <c r="H30" s="11">
        <v>24772</v>
      </c>
      <c r="I30" s="11">
        <v>22708</v>
      </c>
      <c r="J30" s="11">
        <v>26415</v>
      </c>
      <c r="K30" s="11">
        <f>42320-K38</f>
        <v>27695.96</v>
      </c>
      <c r="L30" s="11">
        <v>27087</v>
      </c>
      <c r="M30" s="11">
        <v>27599</v>
      </c>
      <c r="N30" s="11">
        <f>21176+2388*3</f>
        <v>28340</v>
      </c>
      <c r="O30" s="11">
        <v>29724</v>
      </c>
      <c r="P30" s="11">
        <v>30616</v>
      </c>
      <c r="Q30" s="11">
        <v>31481</v>
      </c>
      <c r="R30" s="11">
        <v>32668</v>
      </c>
      <c r="S30" s="11">
        <v>33736</v>
      </c>
      <c r="T30" s="11">
        <v>34863</v>
      </c>
      <c r="U30" s="11">
        <v>35288</v>
      </c>
      <c r="V30" s="11">
        <f>2926*6+2926*1.01*6</f>
        <v>35287.56</v>
      </c>
      <c r="W30" s="11">
        <f>3049.92*1.0636*12</f>
        <v>38926.738944000004</v>
      </c>
      <c r="X30" s="49" t="s">
        <v>133</v>
      </c>
      <c r="Y30" s="41" t="s">
        <v>255</v>
      </c>
      <c r="AB30" s="59" t="s">
        <v>242</v>
      </c>
    </row>
    <row r="31" spans="2:28" ht="15.75">
      <c r="B31" s="39">
        <f t="shared" si="0"/>
        <v>24</v>
      </c>
      <c r="C31" s="1" t="s">
        <v>167</v>
      </c>
      <c r="D31" s="11">
        <v>18541</v>
      </c>
      <c r="E31" s="11">
        <v>18789</v>
      </c>
      <c r="F31" s="11"/>
      <c r="G31" s="11">
        <v>19801</v>
      </c>
      <c r="H31" s="11">
        <f>20334+42130</f>
        <v>62464</v>
      </c>
      <c r="I31" s="11">
        <f>22765+40870</f>
        <v>63635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9722</v>
      </c>
      <c r="P31" s="11">
        <f>843*6+819*6</f>
        <v>9972</v>
      </c>
      <c r="Q31" s="11">
        <v>10311</v>
      </c>
      <c r="R31" s="11">
        <v>10448</v>
      </c>
      <c r="S31" s="11">
        <v>12350</v>
      </c>
      <c r="T31" s="11">
        <v>11077</v>
      </c>
      <c r="U31" s="11">
        <v>11493</v>
      </c>
      <c r="V31" s="11">
        <f>953*6+953*1.01*6</f>
        <v>11493.18</v>
      </c>
      <c r="W31" s="11">
        <f>965.21*1.0636*12</f>
        <v>12319.168272000003</v>
      </c>
      <c r="X31" s="49" t="s">
        <v>133</v>
      </c>
      <c r="Y31" s="41" t="s">
        <v>247</v>
      </c>
      <c r="Z31" s="3"/>
      <c r="AA31" s="3"/>
      <c r="AB31" s="3" t="s">
        <v>242</v>
      </c>
    </row>
    <row r="32" spans="2:28" ht="15.75">
      <c r="B32" s="39">
        <f t="shared" si="0"/>
        <v>25</v>
      </c>
      <c r="C32" s="1" t="s">
        <v>168</v>
      </c>
      <c r="D32" s="11">
        <v>18541</v>
      </c>
      <c r="E32" s="11">
        <v>18789</v>
      </c>
      <c r="F32" s="11"/>
      <c r="G32" s="11">
        <v>19801</v>
      </c>
      <c r="H32" s="11">
        <f>20334+42130</f>
        <v>62464</v>
      </c>
      <c r="I32" s="11">
        <f>22765+40870</f>
        <v>63635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13645</v>
      </c>
      <c r="P32" s="11">
        <f>1149*12</f>
        <v>13788</v>
      </c>
      <c r="Q32" s="11">
        <v>14112</v>
      </c>
      <c r="R32" s="11">
        <v>14831</v>
      </c>
      <c r="S32" s="11">
        <v>15621</v>
      </c>
      <c r="T32" s="11">
        <f>14549+1334</f>
        <v>15883</v>
      </c>
      <c r="U32" s="11">
        <v>16088</v>
      </c>
      <c r="V32" s="11">
        <f>1334*6+1334*1.01*6</f>
        <v>16088.039999999999</v>
      </c>
      <c r="W32" s="11">
        <f>1391.07*1.0636*12</f>
        <v>17754.504624</v>
      </c>
      <c r="X32" s="49" t="s">
        <v>133</v>
      </c>
      <c r="Y32" s="41" t="s">
        <v>248</v>
      </c>
      <c r="Z32" s="3"/>
      <c r="AA32" s="3"/>
      <c r="AB32" s="3" t="s">
        <v>242</v>
      </c>
    </row>
    <row r="33" spans="2:28" ht="15.75">
      <c r="B33" s="39">
        <f t="shared" si="0"/>
        <v>26</v>
      </c>
      <c r="C33" s="1" t="s">
        <v>166</v>
      </c>
      <c r="D33" s="11">
        <v>18541</v>
      </c>
      <c r="E33" s="11">
        <v>18789</v>
      </c>
      <c r="F33" s="11"/>
      <c r="G33" s="11">
        <v>19801</v>
      </c>
      <c r="H33" s="11">
        <f>20334+42130</f>
        <v>62464</v>
      </c>
      <c r="I33" s="11">
        <f>22765+40870</f>
        <v>63635</v>
      </c>
      <c r="J33" s="11">
        <f>21284+32302</f>
        <v>53586</v>
      </c>
      <c r="K33" s="11">
        <f>8900+7100+30000</f>
        <v>46000</v>
      </c>
      <c r="L33" s="11">
        <v>21577</v>
      </c>
      <c r="M33" s="11">
        <v>37375</v>
      </c>
      <c r="N33" s="11">
        <f>35414+1954*3</f>
        <v>41276</v>
      </c>
      <c r="O33" s="11">
        <v>24545</v>
      </c>
      <c r="P33" s="11">
        <v>25112</v>
      </c>
      <c r="Q33" s="11">
        <v>25963</v>
      </c>
      <c r="R33" s="11">
        <v>26607</v>
      </c>
      <c r="S33" s="11">
        <v>26947</v>
      </c>
      <c r="T33" s="11">
        <v>21884</v>
      </c>
      <c r="U33" s="11">
        <f>1193*6+1193*1.01*6</f>
        <v>14387.58</v>
      </c>
      <c r="V33" s="11">
        <f>1193*6+1193*1.01*6</f>
        <v>14387.58</v>
      </c>
      <c r="W33" s="11">
        <f>1244*1.0636*12</f>
        <v>15877.4208</v>
      </c>
      <c r="X33" s="49" t="s">
        <v>133</v>
      </c>
      <c r="Y33" s="41" t="s">
        <v>249</v>
      </c>
      <c r="Z33" s="3"/>
      <c r="AA33" s="3"/>
      <c r="AB33" s="3" t="s">
        <v>242</v>
      </c>
    </row>
    <row r="34" spans="2:28" ht="15.75">
      <c r="B34" s="39">
        <f t="shared" si="0"/>
        <v>27</v>
      </c>
      <c r="C34" s="1" t="s">
        <v>192</v>
      </c>
      <c r="D34" s="11"/>
      <c r="E34" s="11"/>
      <c r="F34" s="11"/>
      <c r="G34" s="11">
        <v>9511</v>
      </c>
      <c r="H34" s="11">
        <v>8652</v>
      </c>
      <c r="I34" s="11">
        <v>9893</v>
      </c>
      <c r="J34" s="11">
        <v>9107</v>
      </c>
      <c r="K34" s="11">
        <v>2103</v>
      </c>
      <c r="L34" s="11">
        <v>7285</v>
      </c>
      <c r="M34" s="11">
        <v>7478</v>
      </c>
      <c r="N34" s="11">
        <v>7658</v>
      </c>
      <c r="O34" s="11">
        <v>662</v>
      </c>
      <c r="P34" s="11">
        <v>0</v>
      </c>
      <c r="Q34" s="11">
        <v>0</v>
      </c>
      <c r="R34" s="57">
        <v>0</v>
      </c>
      <c r="S34" s="11">
        <v>9734</v>
      </c>
      <c r="T34" s="11">
        <v>14861</v>
      </c>
      <c r="U34" s="11">
        <v>15087</v>
      </c>
      <c r="V34" s="11">
        <f>1251*6+1251*1.01*6</f>
        <v>15087.06</v>
      </c>
      <c r="W34" s="11">
        <f>1304.18*1.0636*12</f>
        <v>16645.510176000003</v>
      </c>
      <c r="X34" s="49" t="s">
        <v>133</v>
      </c>
      <c r="Y34" s="41" t="s">
        <v>263</v>
      </c>
      <c r="Z34" s="3"/>
      <c r="AA34" s="3"/>
      <c r="AB34" s="3"/>
    </row>
    <row r="35" spans="2:28" ht="15.75">
      <c r="B35" s="39">
        <f t="shared" si="0"/>
        <v>28</v>
      </c>
      <c r="C35" s="1" t="s">
        <v>113</v>
      </c>
      <c r="D35" s="11"/>
      <c r="E35" s="11"/>
      <c r="F35" s="11"/>
      <c r="G35" s="11">
        <v>9511</v>
      </c>
      <c r="H35" s="11">
        <v>8652</v>
      </c>
      <c r="I35" s="11">
        <v>9893</v>
      </c>
      <c r="J35" s="11">
        <v>9107</v>
      </c>
      <c r="K35" s="11">
        <v>2103</v>
      </c>
      <c r="L35" s="11">
        <v>7285</v>
      </c>
      <c r="M35" s="11">
        <v>7478</v>
      </c>
      <c r="N35" s="11">
        <v>7658</v>
      </c>
      <c r="O35" s="11">
        <v>662</v>
      </c>
      <c r="P35" s="11">
        <v>0</v>
      </c>
      <c r="Q35" s="11">
        <v>1370</v>
      </c>
      <c r="R35" s="11">
        <v>9127</v>
      </c>
      <c r="S35" s="11">
        <f>7832+712</f>
        <v>8544</v>
      </c>
      <c r="T35" s="11">
        <v>8225</v>
      </c>
      <c r="U35" s="11">
        <v>9033</v>
      </c>
      <c r="V35" s="11">
        <f>749*6+749*1.01*6</f>
        <v>9032.94</v>
      </c>
      <c r="W35" s="11">
        <f>780.27*1.0636*12</f>
        <v>9958.742064000002</v>
      </c>
      <c r="X35" s="49" t="s">
        <v>133</v>
      </c>
      <c r="Y35" s="41" t="s">
        <v>250</v>
      </c>
      <c r="Z35" s="3"/>
      <c r="AA35" s="3"/>
      <c r="AB35" s="3" t="s">
        <v>242</v>
      </c>
    </row>
    <row r="36" spans="2:28" ht="15.75">
      <c r="B36" s="39">
        <f t="shared" si="0"/>
        <v>29</v>
      </c>
      <c r="C36" s="1" t="s">
        <v>128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>
        <v>9090</v>
      </c>
      <c r="S36" s="11">
        <v>9363</v>
      </c>
      <c r="T36" s="11">
        <v>9644</v>
      </c>
      <c r="U36" s="11">
        <v>9600</v>
      </c>
      <c r="V36" s="11">
        <f>796*6+796*1.01*6</f>
        <v>9599.76</v>
      </c>
      <c r="W36" s="11">
        <f>854.3*1.0636*12</f>
        <v>10903.601760000001</v>
      </c>
      <c r="X36" s="49" t="s">
        <v>133</v>
      </c>
      <c r="Y36" s="24" t="s">
        <v>251</v>
      </c>
      <c r="Z36" s="3"/>
      <c r="AA36" s="3"/>
      <c r="AB36" s="3" t="s">
        <v>242</v>
      </c>
    </row>
    <row r="37" spans="2:28" ht="15.75" hidden="1">
      <c r="B37" s="39">
        <f t="shared" si="0"/>
        <v>30</v>
      </c>
      <c r="C37" s="1" t="s">
        <v>112</v>
      </c>
      <c r="D37" s="11"/>
      <c r="E37" s="11">
        <v>23546</v>
      </c>
      <c r="F37" s="11">
        <v>38874</v>
      </c>
      <c r="G37" s="11">
        <v>38440</v>
      </c>
      <c r="H37" s="11">
        <v>0</v>
      </c>
      <c r="I37" s="11">
        <v>0</v>
      </c>
      <c r="J37" s="11"/>
      <c r="K37" s="11"/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49"/>
      <c r="Y37" s="41" t="s">
        <v>125</v>
      </c>
      <c r="Z37" s="3"/>
      <c r="AA37" s="3"/>
      <c r="AB37" s="3"/>
    </row>
    <row r="38" spans="2:28" ht="18">
      <c r="B38" s="39">
        <f t="shared" si="0"/>
        <v>31</v>
      </c>
      <c r="C38" s="1" t="s">
        <v>142</v>
      </c>
      <c r="D38" s="11">
        <f>12732+7086</f>
        <v>19818</v>
      </c>
      <c r="E38" s="11">
        <f>12880+6491-277</f>
        <v>19094</v>
      </c>
      <c r="F38" s="11">
        <v>20751</v>
      </c>
      <c r="G38" s="35"/>
      <c r="H38" s="35"/>
      <c r="I38" s="35"/>
      <c r="J38" s="11">
        <f>7220+1800</f>
        <v>9020</v>
      </c>
      <c r="K38" s="11">
        <f>1210.2*6+1227.14*6</f>
        <v>14624.04</v>
      </c>
      <c r="L38" s="11">
        <v>14894</v>
      </c>
      <c r="M38" s="11">
        <v>15220</v>
      </c>
      <c r="N38" s="11">
        <v>15628</v>
      </c>
      <c r="O38" s="11">
        <v>16498</v>
      </c>
      <c r="P38" s="11">
        <v>5558</v>
      </c>
      <c r="Q38" s="11">
        <v>0</v>
      </c>
      <c r="R38" s="11">
        <v>0</v>
      </c>
      <c r="S38" s="11">
        <v>0</v>
      </c>
      <c r="T38" s="11">
        <v>19439</v>
      </c>
      <c r="U38" s="11">
        <v>39000</v>
      </c>
      <c r="V38" s="11">
        <f>1129*6+1129*1.01*6</f>
        <v>13615.74</v>
      </c>
      <c r="W38" s="11">
        <f>2425.46*1.0636*12</f>
        <v>30956.631072000004</v>
      </c>
      <c r="X38" s="49" t="s">
        <v>141</v>
      </c>
      <c r="Y38" s="24" t="s">
        <v>252</v>
      </c>
      <c r="AB38" s="1" t="s">
        <v>242</v>
      </c>
    </row>
    <row r="39" spans="2:28" ht="15.75">
      <c r="B39" s="39">
        <f t="shared" si="0"/>
        <v>32</v>
      </c>
      <c r="C39" s="1" t="s">
        <v>73</v>
      </c>
      <c r="D39" s="11"/>
      <c r="E39" s="11"/>
      <c r="F39" s="11"/>
      <c r="G39" s="11"/>
      <c r="H39" s="11"/>
      <c r="I39" s="11">
        <v>3677</v>
      </c>
      <c r="J39" s="11">
        <v>54217</v>
      </c>
      <c r="K39" s="11">
        <v>26966</v>
      </c>
      <c r="L39" s="11">
        <v>61967</v>
      </c>
      <c r="M39" s="11">
        <v>64851</v>
      </c>
      <c r="N39" s="11">
        <v>39611</v>
      </c>
      <c r="O39" s="11">
        <v>13340</v>
      </c>
      <c r="P39" s="11">
        <v>36140</v>
      </c>
      <c r="Q39" s="11">
        <v>29258</v>
      </c>
      <c r="R39" s="11">
        <v>43591</v>
      </c>
      <c r="S39" s="11">
        <v>20878</v>
      </c>
      <c r="T39" s="11">
        <v>67981</v>
      </c>
      <c r="U39" s="11">
        <v>40000</v>
      </c>
      <c r="V39" s="11">
        <v>40000</v>
      </c>
      <c r="W39" s="11">
        <v>40000</v>
      </c>
      <c r="X39" s="49" t="s">
        <v>133</v>
      </c>
      <c r="Y39" s="24" t="s">
        <v>99</v>
      </c>
      <c r="Z39" s="3"/>
      <c r="AA39" s="3"/>
      <c r="AB39" s="3"/>
    </row>
    <row r="40" spans="2:28" ht="15.75">
      <c r="B40" s="39">
        <f t="shared" si="0"/>
        <v>33</v>
      </c>
      <c r="C40" s="1" t="s">
        <v>228</v>
      </c>
      <c r="D40" s="11">
        <v>21684</v>
      </c>
      <c r="E40" s="11">
        <v>32203</v>
      </c>
      <c r="F40" s="11">
        <v>31184</v>
      </c>
      <c r="G40" s="11">
        <v>38725</v>
      </c>
      <c r="H40" s="11">
        <v>37831</v>
      </c>
      <c r="I40" s="11">
        <v>44188</v>
      </c>
      <c r="J40" s="11">
        <v>33897</v>
      </c>
      <c r="K40" s="11">
        <v>36181</v>
      </c>
      <c r="L40" s="11">
        <v>34684</v>
      </c>
      <c r="M40" s="11">
        <v>34496</v>
      </c>
      <c r="N40" s="11">
        <v>36156</v>
      </c>
      <c r="O40" s="11">
        <v>33996</v>
      </c>
      <c r="P40" s="11">
        <v>35057</v>
      </c>
      <c r="Q40" s="11">
        <v>35930</v>
      </c>
      <c r="R40" s="11">
        <v>34662</v>
      </c>
      <c r="S40" s="11">
        <v>35750</v>
      </c>
      <c r="T40" s="11">
        <v>36716</v>
      </c>
      <c r="U40" s="11">
        <v>37205</v>
      </c>
      <c r="V40" s="11">
        <f>3085*6+3085*1.01*6</f>
        <v>37205.1</v>
      </c>
      <c r="W40" s="11">
        <f>3215.65*1.0636*12</f>
        <v>41041.98408000001</v>
      </c>
      <c r="X40" s="49" t="s">
        <v>133</v>
      </c>
      <c r="Y40" s="41" t="s">
        <v>253</v>
      </c>
      <c r="Z40" s="11"/>
      <c r="AB40" s="1" t="s">
        <v>242</v>
      </c>
    </row>
    <row r="41" spans="2:26" ht="15.75">
      <c r="B41" s="39">
        <f t="shared" si="0"/>
        <v>34</v>
      </c>
      <c r="C41" s="1" t="s">
        <v>97</v>
      </c>
      <c r="D41" s="11">
        <v>27078</v>
      </c>
      <c r="E41" s="11">
        <v>29894</v>
      </c>
      <c r="F41" s="11">
        <v>29437</v>
      </c>
      <c r="G41" s="11">
        <v>30651</v>
      </c>
      <c r="H41" s="11">
        <v>31284</v>
      </c>
      <c r="I41" s="11">
        <v>32334</v>
      </c>
      <c r="J41" s="11">
        <v>33458</v>
      </c>
      <c r="K41" s="11">
        <v>33612</v>
      </c>
      <c r="L41" s="11">
        <v>33708</v>
      </c>
      <c r="M41" s="11">
        <v>38352</v>
      </c>
      <c r="N41" s="11">
        <v>35449</v>
      </c>
      <c r="O41" s="11">
        <v>37862</v>
      </c>
      <c r="P41" s="11">
        <v>47081</v>
      </c>
      <c r="Q41" s="11">
        <v>9740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11">
        <v>0</v>
      </c>
      <c r="X41" s="30" t="s">
        <v>133</v>
      </c>
      <c r="Y41" s="24" t="s">
        <v>223</v>
      </c>
      <c r="Z41" s="11"/>
    </row>
    <row r="42" spans="2:28" ht="15.75">
      <c r="B42" s="39">
        <f t="shared" si="0"/>
        <v>35</v>
      </c>
      <c r="C42" s="1" t="s">
        <v>16</v>
      </c>
      <c r="D42" s="11">
        <v>54937</v>
      </c>
      <c r="E42" s="11">
        <v>21027</v>
      </c>
      <c r="F42" s="11">
        <v>15897</v>
      </c>
      <c r="G42" s="11">
        <v>21395</v>
      </c>
      <c r="H42" s="11">
        <v>25110</v>
      </c>
      <c r="I42" s="11">
        <v>25189</v>
      </c>
      <c r="J42" s="11">
        <v>26979</v>
      </c>
      <c r="K42" s="11">
        <v>37844</v>
      </c>
      <c r="L42" s="11">
        <v>28155</v>
      </c>
      <c r="M42" s="11">
        <v>26350</v>
      </c>
      <c r="N42" s="11">
        <v>30251</v>
      </c>
      <c r="O42" s="11">
        <v>39195</v>
      </c>
      <c r="P42" s="11">
        <v>58478</v>
      </c>
      <c r="Q42" s="11">
        <v>31329</v>
      </c>
      <c r="R42" s="11">
        <v>40511</v>
      </c>
      <c r="S42" s="11">
        <v>44572</v>
      </c>
      <c r="T42" s="11">
        <v>103093</v>
      </c>
      <c r="U42" s="11">
        <v>45000</v>
      </c>
      <c r="V42" s="11">
        <v>45000</v>
      </c>
      <c r="W42" s="11">
        <f>1713.39*12+60000</f>
        <v>80560.68</v>
      </c>
      <c r="X42" s="49" t="s">
        <v>133</v>
      </c>
      <c r="Y42" s="41" t="s">
        <v>234</v>
      </c>
      <c r="AB42" s="40"/>
    </row>
    <row r="43" spans="2:28" ht="15.75">
      <c r="B43" s="39">
        <f t="shared" si="0"/>
        <v>36</v>
      </c>
      <c r="C43" s="1" t="s">
        <v>17</v>
      </c>
      <c r="D43" s="11">
        <v>20165</v>
      </c>
      <c r="E43" s="11">
        <v>18863</v>
      </c>
      <c r="F43" s="11">
        <v>20444</v>
      </c>
      <c r="G43" s="11">
        <v>21900</v>
      </c>
      <c r="H43" s="11">
        <v>18858</v>
      </c>
      <c r="I43" s="11">
        <v>22144</v>
      </c>
      <c r="J43" s="11">
        <v>21105</v>
      </c>
      <c r="K43" s="11">
        <v>21673</v>
      </c>
      <c r="L43" s="11">
        <v>20886</v>
      </c>
      <c r="M43" s="11">
        <v>21300</v>
      </c>
      <c r="N43" s="11">
        <v>22571</v>
      </c>
      <c r="O43" s="11">
        <v>21932</v>
      </c>
      <c r="P43" s="11">
        <v>22898</v>
      </c>
      <c r="Q43" s="11">
        <v>25335</v>
      </c>
      <c r="R43" s="11">
        <v>26355</v>
      </c>
      <c r="S43" s="11">
        <v>24562</v>
      </c>
      <c r="T43" s="11">
        <v>28481</v>
      </c>
      <c r="U43" s="11">
        <v>26911</v>
      </c>
      <c r="V43" s="11">
        <v>28481</v>
      </c>
      <c r="W43" s="11">
        <v>28481</v>
      </c>
      <c r="X43" s="49" t="s">
        <v>133</v>
      </c>
      <c r="Y43" s="41" t="s">
        <v>134</v>
      </c>
      <c r="AB43" s="59"/>
    </row>
    <row r="44" spans="2:25" ht="15.75">
      <c r="B44" s="39">
        <f t="shared" si="0"/>
        <v>37</v>
      </c>
      <c r="C44" s="1" t="s">
        <v>121</v>
      </c>
      <c r="D44" s="11">
        <f>130+5254</f>
        <v>5384</v>
      </c>
      <c r="E44" s="11"/>
      <c r="F44" s="11">
        <f>300+8342</f>
        <v>8642</v>
      </c>
      <c r="G44" s="11">
        <v>1893</v>
      </c>
      <c r="H44" s="11">
        <v>0</v>
      </c>
      <c r="I44" s="11">
        <v>555</v>
      </c>
      <c r="J44" s="11">
        <v>1786</v>
      </c>
      <c r="K44" s="11">
        <v>3947</v>
      </c>
      <c r="L44" s="11">
        <v>4676</v>
      </c>
      <c r="M44" s="11">
        <v>4396</v>
      </c>
      <c r="N44" s="11">
        <f>3678+413*3</f>
        <v>4917</v>
      </c>
      <c r="O44" s="11">
        <v>5146</v>
      </c>
      <c r="P44" s="11">
        <v>1772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11">
        <v>0</v>
      </c>
      <c r="X44" s="49" t="s">
        <v>133</v>
      </c>
      <c r="Y44" s="41" t="s">
        <v>184</v>
      </c>
    </row>
    <row r="45" spans="2:25" ht="15.75">
      <c r="B45" s="39">
        <f t="shared" si="0"/>
        <v>38</v>
      </c>
      <c r="C45" s="1" t="s">
        <v>18</v>
      </c>
      <c r="D45" s="11">
        <v>16704</v>
      </c>
      <c r="E45" s="11">
        <v>20524</v>
      </c>
      <c r="F45" s="17">
        <v>30424</v>
      </c>
      <c r="G45" s="17">
        <v>22434</v>
      </c>
      <c r="H45" s="17">
        <v>22434</v>
      </c>
      <c r="I45" s="17">
        <v>22434</v>
      </c>
      <c r="J45" s="17">
        <v>24943</v>
      </c>
      <c r="K45" s="17">
        <v>26738</v>
      </c>
      <c r="L45" s="17">
        <v>27629</v>
      </c>
      <c r="M45" s="17">
        <v>28358</v>
      </c>
      <c r="N45" s="17">
        <f>21711+2448*3</f>
        <v>29055</v>
      </c>
      <c r="O45" s="17">
        <v>30605</v>
      </c>
      <c r="P45" s="11">
        <f>15500+2661*6</f>
        <v>31466</v>
      </c>
      <c r="Q45" s="11">
        <v>32447</v>
      </c>
      <c r="R45" s="11">
        <v>33599</v>
      </c>
      <c r="S45" s="11">
        <v>34764</v>
      </c>
      <c r="T45" s="11">
        <v>35525</v>
      </c>
      <c r="U45" s="11">
        <v>36180</v>
      </c>
      <c r="V45" s="11">
        <f>3000*6+3000*1.01*6</f>
        <v>36180</v>
      </c>
      <c r="W45" s="11">
        <f>3065.62*1.0636*12</f>
        <v>39127.121184</v>
      </c>
      <c r="X45" s="51" t="s">
        <v>133</v>
      </c>
      <c r="Y45" s="41" t="s">
        <v>254</v>
      </c>
    </row>
    <row r="46" spans="2:25" s="3" customFormat="1" ht="15.75">
      <c r="B46" s="39">
        <f t="shared" si="0"/>
        <v>39</v>
      </c>
      <c r="C46" s="3" t="s">
        <v>19</v>
      </c>
      <c r="D46" s="16">
        <f aca="true" t="shared" si="5" ref="D46:W46">SUM(D27:D45)</f>
        <v>386124</v>
      </c>
      <c r="E46" s="16">
        <f t="shared" si="5"/>
        <v>311597</v>
      </c>
      <c r="F46" s="16">
        <f t="shared" si="5"/>
        <v>288740</v>
      </c>
      <c r="G46" s="16">
        <f t="shared" si="5"/>
        <v>420594</v>
      </c>
      <c r="H46" s="16">
        <f t="shared" si="5"/>
        <v>516308</v>
      </c>
      <c r="I46" s="16">
        <f t="shared" si="5"/>
        <v>553514</v>
      </c>
      <c r="J46" s="16">
        <f t="shared" si="5"/>
        <v>471854.9</v>
      </c>
      <c r="K46" s="16">
        <f t="shared" si="5"/>
        <v>448066</v>
      </c>
      <c r="L46" s="16">
        <f t="shared" si="5"/>
        <v>452101</v>
      </c>
      <c r="M46" s="16">
        <f t="shared" si="5"/>
        <v>479477</v>
      </c>
      <c r="N46" s="16">
        <f t="shared" si="5"/>
        <v>468786</v>
      </c>
      <c r="O46" s="16">
        <f t="shared" si="5"/>
        <v>456749</v>
      </c>
      <c r="P46" s="16">
        <f t="shared" si="5"/>
        <v>501554</v>
      </c>
      <c r="Q46" s="16">
        <f t="shared" si="5"/>
        <v>437982</v>
      </c>
      <c r="R46" s="16">
        <f>SUM(R27:R45)</f>
        <v>478272</v>
      </c>
      <c r="S46" s="16">
        <f>SUM(S27:S45)</f>
        <v>480532</v>
      </c>
      <c r="T46" s="16">
        <f>SUM(T27:T45)</f>
        <v>618556</v>
      </c>
      <c r="U46" s="16">
        <f>SUM(U27:U45)</f>
        <v>547118.5800000001</v>
      </c>
      <c r="V46" s="16">
        <f>SUM(V27:V45)</f>
        <v>523303.92</v>
      </c>
      <c r="W46" s="16">
        <f t="shared" si="5"/>
        <v>616256.2292160001</v>
      </c>
      <c r="X46" s="51"/>
      <c r="Y46" s="24"/>
    </row>
    <row r="47" spans="2:30" s="3" customFormat="1" ht="15.75">
      <c r="B47" s="39">
        <f aca="true" t="shared" si="6" ref="B47:B65">B46+1</f>
        <v>40</v>
      </c>
      <c r="C47" s="3" t="s">
        <v>79</v>
      </c>
      <c r="D47" s="10"/>
      <c r="E47" s="10"/>
      <c r="F47" s="10"/>
      <c r="G47" s="10"/>
      <c r="H47" s="10"/>
      <c r="I47" s="10"/>
      <c r="J47" s="10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 t="s">
        <v>88</v>
      </c>
      <c r="W47" s="36" t="s">
        <v>88</v>
      </c>
      <c r="X47" s="49"/>
      <c r="Y47" s="25"/>
      <c r="AB47" s="37">
        <f>SUM(W75:W78)</f>
        <v>515000</v>
      </c>
      <c r="AD47" s="3">
        <f>3/66.5</f>
        <v>0.045112781954887216</v>
      </c>
    </row>
    <row r="48" spans="2:28" ht="15.75">
      <c r="B48" s="39">
        <f t="shared" si="6"/>
        <v>41</v>
      </c>
      <c r="C48" s="1" t="s">
        <v>198</v>
      </c>
      <c r="D48" s="11">
        <v>189712</v>
      </c>
      <c r="E48" s="11">
        <f>175870+105</f>
        <v>175975</v>
      </c>
      <c r="F48" s="11">
        <v>185903</v>
      </c>
      <c r="G48" s="11">
        <v>172362</v>
      </c>
      <c r="H48" s="11">
        <v>159453</v>
      </c>
      <c r="I48" s="11">
        <v>218174</v>
      </c>
      <c r="J48" s="11">
        <v>245716</v>
      </c>
      <c r="K48" s="11">
        <v>250432</v>
      </c>
      <c r="L48" s="11">
        <v>245348</v>
      </c>
      <c r="M48" s="11">
        <v>245878</v>
      </c>
      <c r="N48" s="11">
        <v>254070</v>
      </c>
      <c r="O48" s="11">
        <v>286334</v>
      </c>
      <c r="P48" s="11">
        <v>281892</v>
      </c>
      <c r="Q48" s="11">
        <v>290878</v>
      </c>
      <c r="R48" s="11">
        <v>281184</v>
      </c>
      <c r="S48" s="11">
        <v>277938</v>
      </c>
      <c r="T48" s="11">
        <v>345647</v>
      </c>
      <c r="U48" s="11">
        <v>355000</v>
      </c>
      <c r="V48" s="11">
        <v>355000</v>
      </c>
      <c r="W48" s="11">
        <f>355000*1.045</f>
        <v>370975</v>
      </c>
      <c r="X48" s="49" t="s">
        <v>133</v>
      </c>
      <c r="Y48" s="24" t="s">
        <v>276</v>
      </c>
      <c r="AB48" s="1">
        <f>AB47*0.045</f>
        <v>23175</v>
      </c>
    </row>
    <row r="49" spans="2:25" ht="15.75">
      <c r="B49" s="39">
        <f t="shared" si="6"/>
        <v>42</v>
      </c>
      <c r="C49" s="1" t="s">
        <v>213</v>
      </c>
      <c r="D49" s="11">
        <v>189712</v>
      </c>
      <c r="E49" s="11">
        <f>175870+105</f>
        <v>175975</v>
      </c>
      <c r="F49" s="11">
        <v>185903</v>
      </c>
      <c r="G49" s="11">
        <v>172362</v>
      </c>
      <c r="H49" s="11">
        <v>159453</v>
      </c>
      <c r="I49" s="11">
        <v>218174</v>
      </c>
      <c r="J49" s="11">
        <v>245716</v>
      </c>
      <c r="K49" s="11">
        <v>250432</v>
      </c>
      <c r="L49" s="11">
        <v>245348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12480</v>
      </c>
      <c r="S49" s="11">
        <v>28946</v>
      </c>
      <c r="T49" s="11">
        <v>0</v>
      </c>
      <c r="U49" s="11">
        <v>13550</v>
      </c>
      <c r="V49" s="11">
        <v>30000</v>
      </c>
      <c r="W49" s="11">
        <v>30000</v>
      </c>
      <c r="X49" s="49" t="s">
        <v>133</v>
      </c>
      <c r="Y49" s="24" t="s">
        <v>217</v>
      </c>
    </row>
    <row r="50" spans="2:29" ht="15.75">
      <c r="B50" s="39">
        <f t="shared" si="6"/>
        <v>43</v>
      </c>
      <c r="C50" s="1" t="s">
        <v>20</v>
      </c>
      <c r="D50" s="11">
        <v>21853</v>
      </c>
      <c r="E50" s="11">
        <v>15991</v>
      </c>
      <c r="F50" s="11">
        <v>10325</v>
      </c>
      <c r="G50" s="11">
        <v>10500</v>
      </c>
      <c r="H50" s="11">
        <v>21855</v>
      </c>
      <c r="I50" s="11">
        <v>28170</v>
      </c>
      <c r="J50" s="11">
        <v>36463</v>
      </c>
      <c r="K50" s="11">
        <v>40717</v>
      </c>
      <c r="L50" s="11">
        <v>42686</v>
      </c>
      <c r="M50" s="11">
        <v>42225</v>
      </c>
      <c r="N50" s="11">
        <v>47831</v>
      </c>
      <c r="O50" s="11">
        <v>58454</v>
      </c>
      <c r="P50" s="11">
        <v>57318</v>
      </c>
      <c r="Q50" s="11">
        <v>60088</v>
      </c>
      <c r="R50" s="11">
        <v>58463</v>
      </c>
      <c r="S50" s="11">
        <v>60557</v>
      </c>
      <c r="T50" s="11">
        <v>58209</v>
      </c>
      <c r="U50" s="11">
        <v>60000</v>
      </c>
      <c r="V50" s="11">
        <v>63000</v>
      </c>
      <c r="W50" s="11">
        <v>66000</v>
      </c>
      <c r="X50" s="49" t="s">
        <v>133</v>
      </c>
      <c r="Y50" s="24" t="s">
        <v>270</v>
      </c>
      <c r="AB50" s="61">
        <f>AB47-AB48-40000-15000-66500</f>
        <v>370325</v>
      </c>
      <c r="AC50" s="1">
        <f>AB50/444/12</f>
        <v>69.50544294294293</v>
      </c>
    </row>
    <row r="51" spans="2:29" ht="15.75">
      <c r="B51" s="39">
        <f t="shared" si="6"/>
        <v>44</v>
      </c>
      <c r="C51" s="1" t="s">
        <v>214</v>
      </c>
      <c r="D51" s="11">
        <v>21853</v>
      </c>
      <c r="E51" s="11">
        <v>15991</v>
      </c>
      <c r="F51" s="11">
        <v>10325</v>
      </c>
      <c r="G51" s="11">
        <v>10500</v>
      </c>
      <c r="H51" s="11">
        <v>21855</v>
      </c>
      <c r="I51" s="11">
        <v>28170</v>
      </c>
      <c r="J51" s="11">
        <v>36463</v>
      </c>
      <c r="K51" s="11">
        <v>40717</v>
      </c>
      <c r="L51" s="11">
        <v>42686</v>
      </c>
      <c r="M51" s="11">
        <v>42225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49" t="s">
        <v>133</v>
      </c>
      <c r="Y51" s="24" t="s">
        <v>231</v>
      </c>
      <c r="AB51" s="24" t="s">
        <v>225</v>
      </c>
      <c r="AC51" s="1" t="s">
        <v>226</v>
      </c>
    </row>
    <row r="52" spans="2:29" ht="29.25" customHeight="1">
      <c r="B52" s="39">
        <f>B51+1</f>
        <v>45</v>
      </c>
      <c r="C52" s="1" t="s">
        <v>143</v>
      </c>
      <c r="D52" s="11">
        <v>26631</v>
      </c>
      <c r="E52" s="11">
        <v>20243</v>
      </c>
      <c r="F52" s="11">
        <v>17841</v>
      </c>
      <c r="G52" s="11">
        <v>35643</v>
      </c>
      <c r="H52" s="11">
        <v>22198</v>
      </c>
      <c r="I52" s="11">
        <v>26639</v>
      </c>
      <c r="J52" s="11">
        <v>42473</v>
      </c>
      <c r="K52" s="11">
        <v>39907</v>
      </c>
      <c r="L52" s="11">
        <v>87328</v>
      </c>
      <c r="M52" s="11">
        <v>77094</v>
      </c>
      <c r="N52" s="11">
        <v>66291</v>
      </c>
      <c r="O52" s="11">
        <v>68762</v>
      </c>
      <c r="P52" s="11">
        <v>72334</v>
      </c>
      <c r="Q52" s="11">
        <v>100829</v>
      </c>
      <c r="R52" s="11">
        <v>121398</v>
      </c>
      <c r="S52" s="11">
        <v>112693</v>
      </c>
      <c r="T52" s="11">
        <v>195085</v>
      </c>
      <c r="U52" s="11">
        <v>200000</v>
      </c>
      <c r="V52" s="11">
        <v>125000</v>
      </c>
      <c r="W52" s="11">
        <v>175000</v>
      </c>
      <c r="X52" s="49" t="s">
        <v>133</v>
      </c>
      <c r="Y52" s="43" t="s">
        <v>272</v>
      </c>
      <c r="Z52" s="3"/>
      <c r="AA52" s="3"/>
      <c r="AB52" s="3"/>
      <c r="AC52" s="1" t="s">
        <v>274</v>
      </c>
    </row>
    <row r="53" spans="2:30" ht="15.75">
      <c r="B53" s="39">
        <f t="shared" si="6"/>
        <v>46</v>
      </c>
      <c r="C53" s="1" t="s">
        <v>21</v>
      </c>
      <c r="D53" s="11">
        <v>4868</v>
      </c>
      <c r="E53" s="11">
        <v>3706</v>
      </c>
      <c r="F53" s="11">
        <v>2165</v>
      </c>
      <c r="G53" s="11">
        <v>2638</v>
      </c>
      <c r="H53" s="11">
        <v>2067</v>
      </c>
      <c r="I53" s="11">
        <v>591</v>
      </c>
      <c r="J53" s="11">
        <v>1797</v>
      </c>
      <c r="K53" s="11">
        <v>1563</v>
      </c>
      <c r="L53" s="11">
        <v>2182</v>
      </c>
      <c r="M53" s="11">
        <v>2739</v>
      </c>
      <c r="N53" s="11">
        <v>2919</v>
      </c>
      <c r="O53" s="11">
        <v>2945</v>
      </c>
      <c r="P53" s="11">
        <v>1718</v>
      </c>
      <c r="Q53" s="11">
        <v>1993</v>
      </c>
      <c r="R53" s="11">
        <v>1559</v>
      </c>
      <c r="S53" s="11">
        <v>1076</v>
      </c>
      <c r="T53" s="11">
        <v>551</v>
      </c>
      <c r="U53" s="11">
        <v>500</v>
      </c>
      <c r="V53" s="11">
        <v>2000</v>
      </c>
      <c r="W53" s="11">
        <v>1200</v>
      </c>
      <c r="X53" s="49" t="s">
        <v>133</v>
      </c>
      <c r="Y53" s="24" t="s">
        <v>138</v>
      </c>
      <c r="Z53" s="3"/>
      <c r="AA53" s="3"/>
      <c r="AB53" s="42"/>
      <c r="AC53" s="1">
        <f>20*1.0552</f>
        <v>21.104</v>
      </c>
      <c r="AD53" s="1">
        <v>21</v>
      </c>
    </row>
    <row r="54" spans="2:30" ht="15.75">
      <c r="B54" s="39">
        <f t="shared" si="6"/>
        <v>47</v>
      </c>
      <c r="C54" s="1" t="s">
        <v>13</v>
      </c>
      <c r="D54" s="11">
        <f>19410+2364</f>
        <v>21774</v>
      </c>
      <c r="E54" s="11">
        <f>23237+1819</f>
        <v>25056</v>
      </c>
      <c r="F54" s="11">
        <f>19067+1284</f>
        <v>20351</v>
      </c>
      <c r="G54" s="11">
        <f>28493+1081</f>
        <v>29574</v>
      </c>
      <c r="H54" s="11">
        <f>18897+384</f>
        <v>19281</v>
      </c>
      <c r="I54" s="11">
        <v>17085</v>
      </c>
      <c r="J54" s="11">
        <v>17230</v>
      </c>
      <c r="K54" s="11">
        <v>26294</v>
      </c>
      <c r="L54" s="11">
        <v>44162</v>
      </c>
      <c r="M54" s="11">
        <v>46348</v>
      </c>
      <c r="N54" s="11">
        <v>44872</v>
      </c>
      <c r="O54" s="11">
        <v>109592</v>
      </c>
      <c r="P54" s="11">
        <v>106321</v>
      </c>
      <c r="Q54" s="11">
        <v>118889</v>
      </c>
      <c r="R54" s="11">
        <v>105430</v>
      </c>
      <c r="S54" s="11">
        <v>84330</v>
      </c>
      <c r="T54" s="11">
        <v>92313</v>
      </c>
      <c r="U54" s="11">
        <v>120000</v>
      </c>
      <c r="V54" s="11">
        <v>115000</v>
      </c>
      <c r="W54" s="11">
        <v>130000</v>
      </c>
      <c r="X54" s="49" t="s">
        <v>133</v>
      </c>
      <c r="Y54" s="24" t="s">
        <v>273</v>
      </c>
      <c r="AB54" s="63"/>
      <c r="AC54" s="1">
        <f>14*1.0552</f>
        <v>14.772799999999998</v>
      </c>
      <c r="AD54" s="1">
        <v>15</v>
      </c>
    </row>
    <row r="55" spans="2:30" ht="15.75">
      <c r="B55" s="39">
        <f t="shared" si="6"/>
        <v>48</v>
      </c>
      <c r="C55" s="1" t="s">
        <v>22</v>
      </c>
      <c r="D55" s="11">
        <v>2465</v>
      </c>
      <c r="E55" s="11">
        <v>2768</v>
      </c>
      <c r="F55" s="11">
        <v>1332</v>
      </c>
      <c r="G55" s="11">
        <v>3219</v>
      </c>
      <c r="H55" s="11">
        <v>2494</v>
      </c>
      <c r="I55" s="11">
        <v>2139</v>
      </c>
      <c r="J55" s="11">
        <v>3547</v>
      </c>
      <c r="K55" s="11">
        <v>2202</v>
      </c>
      <c r="L55" s="11">
        <v>2632</v>
      </c>
      <c r="M55" s="11">
        <v>3929</v>
      </c>
      <c r="N55" s="11">
        <v>4786</v>
      </c>
      <c r="O55" s="11">
        <v>4059</v>
      </c>
      <c r="P55" s="11">
        <v>4902</v>
      </c>
      <c r="Q55" s="11">
        <v>1907</v>
      </c>
      <c r="R55" s="11">
        <v>200</v>
      </c>
      <c r="S55" s="11">
        <v>650</v>
      </c>
      <c r="T55" s="11">
        <v>643</v>
      </c>
      <c r="U55" s="11">
        <v>3500</v>
      </c>
      <c r="V55" s="11">
        <v>2500</v>
      </c>
      <c r="W55" s="11">
        <v>2500</v>
      </c>
      <c r="X55" s="49" t="s">
        <v>133</v>
      </c>
      <c r="Y55" s="24" t="s">
        <v>146</v>
      </c>
      <c r="Z55" s="3"/>
      <c r="AA55" s="3"/>
      <c r="AB55" s="3"/>
      <c r="AC55" s="1">
        <f>200*1.0552</f>
        <v>211.04</v>
      </c>
      <c r="AD55" s="1">
        <v>210</v>
      </c>
    </row>
    <row r="56" spans="2:30" ht="15.75">
      <c r="B56" s="39">
        <f t="shared" si="6"/>
        <v>49</v>
      </c>
      <c r="C56" s="1" t="s">
        <v>23</v>
      </c>
      <c r="D56" s="11">
        <v>0</v>
      </c>
      <c r="E56" s="11">
        <v>815</v>
      </c>
      <c r="F56" s="11">
        <v>1355</v>
      </c>
      <c r="G56" s="11">
        <v>2998</v>
      </c>
      <c r="H56" s="11">
        <v>85</v>
      </c>
      <c r="I56" s="11">
        <v>225</v>
      </c>
      <c r="J56" s="11">
        <v>85</v>
      </c>
      <c r="K56" s="11">
        <v>300</v>
      </c>
      <c r="L56" s="11">
        <v>756</v>
      </c>
      <c r="M56" s="11">
        <v>1398</v>
      </c>
      <c r="N56" s="11">
        <v>7</v>
      </c>
      <c r="O56" s="11">
        <v>1725</v>
      </c>
      <c r="P56" s="11">
        <v>0</v>
      </c>
      <c r="Q56" s="11">
        <v>0</v>
      </c>
      <c r="R56" s="11">
        <v>0</v>
      </c>
      <c r="S56" s="11">
        <v>0</v>
      </c>
      <c r="T56" s="11">
        <v>118</v>
      </c>
      <c r="U56" s="11">
        <v>0</v>
      </c>
      <c r="V56" s="11">
        <v>250</v>
      </c>
      <c r="W56" s="11">
        <v>50</v>
      </c>
      <c r="X56" s="49" t="s">
        <v>133</v>
      </c>
      <c r="Z56" s="3"/>
      <c r="AA56" s="3"/>
      <c r="AB56" s="3"/>
      <c r="AC56" s="1">
        <f>15*1.0552</f>
        <v>15.828</v>
      </c>
      <c r="AD56" s="1">
        <v>16</v>
      </c>
    </row>
    <row r="57" spans="2:30" ht="15.75">
      <c r="B57" s="39">
        <f t="shared" si="6"/>
        <v>50</v>
      </c>
      <c r="C57" s="1" t="s">
        <v>24</v>
      </c>
      <c r="D57" s="11">
        <v>3505</v>
      </c>
      <c r="E57" s="11">
        <v>2841</v>
      </c>
      <c r="F57" s="11">
        <v>2500</v>
      </c>
      <c r="G57" s="11">
        <v>3190</v>
      </c>
      <c r="H57" s="11">
        <v>4212</v>
      </c>
      <c r="I57" s="11">
        <v>2575</v>
      </c>
      <c r="J57" s="11">
        <v>3573</v>
      </c>
      <c r="K57" s="11">
        <v>3530</v>
      </c>
      <c r="L57" s="11">
        <v>2715</v>
      </c>
      <c r="M57" s="11">
        <v>2575</v>
      </c>
      <c r="N57" s="11">
        <v>4971</v>
      </c>
      <c r="O57" s="11">
        <v>10827</v>
      </c>
      <c r="P57" s="11">
        <v>7800</v>
      </c>
      <c r="Q57" s="11">
        <v>8264</v>
      </c>
      <c r="R57" s="11">
        <v>13505</v>
      </c>
      <c r="S57" s="11">
        <v>4920</v>
      </c>
      <c r="T57" s="11">
        <v>8082</v>
      </c>
      <c r="U57" s="11">
        <v>7500</v>
      </c>
      <c r="V57" s="11">
        <v>4500</v>
      </c>
      <c r="W57" s="11">
        <v>6500</v>
      </c>
      <c r="X57" s="30" t="s">
        <v>133</v>
      </c>
      <c r="Y57" s="24" t="s">
        <v>215</v>
      </c>
      <c r="Z57" s="3"/>
      <c r="AA57" s="3"/>
      <c r="AB57" s="3"/>
      <c r="AC57" s="1">
        <f>9*1.0552</f>
        <v>9.496799999999999</v>
      </c>
      <c r="AD57" s="1">
        <v>10</v>
      </c>
    </row>
    <row r="58" spans="2:30" s="3" customFormat="1" ht="15.75">
      <c r="B58" s="39">
        <f t="shared" si="6"/>
        <v>51</v>
      </c>
      <c r="C58" s="1" t="s">
        <v>64</v>
      </c>
      <c r="D58" s="11">
        <v>18163</v>
      </c>
      <c r="E58" s="11">
        <v>11424</v>
      </c>
      <c r="F58" s="11">
        <v>8622</v>
      </c>
      <c r="G58" s="11">
        <v>9234</v>
      </c>
      <c r="H58" s="11">
        <v>8311</v>
      </c>
      <c r="I58" s="11">
        <v>7884</v>
      </c>
      <c r="J58" s="11">
        <v>7711</v>
      </c>
      <c r="K58" s="11">
        <v>7491</v>
      </c>
      <c r="L58" s="11">
        <v>8701</v>
      </c>
      <c r="M58" s="11">
        <v>8507</v>
      </c>
      <c r="N58" s="11">
        <v>7723</v>
      </c>
      <c r="O58" s="11">
        <v>8901</v>
      </c>
      <c r="P58" s="11">
        <v>10712</v>
      </c>
      <c r="Q58" s="11">
        <v>11865</v>
      </c>
      <c r="R58" s="11">
        <v>9415</v>
      </c>
      <c r="S58" s="11">
        <v>8123</v>
      </c>
      <c r="T58" s="11">
        <v>6577</v>
      </c>
      <c r="U58" s="11">
        <v>10000</v>
      </c>
      <c r="V58" s="11">
        <v>8500</v>
      </c>
      <c r="W58" s="11">
        <v>8500</v>
      </c>
      <c r="X58" s="30" t="s">
        <v>133</v>
      </c>
      <c r="Y58" s="24" t="s">
        <v>275</v>
      </c>
      <c r="AC58" s="3">
        <f>150*1.0552</f>
        <v>158.28</v>
      </c>
      <c r="AD58" s="3">
        <v>160</v>
      </c>
    </row>
    <row r="59" spans="2:30" s="3" customFormat="1" ht="15.75">
      <c r="B59" s="39">
        <f t="shared" si="6"/>
        <v>52</v>
      </c>
      <c r="C59" s="1" t="s">
        <v>106</v>
      </c>
      <c r="D59" s="11">
        <v>18163</v>
      </c>
      <c r="E59" s="11">
        <v>11424</v>
      </c>
      <c r="F59" s="11">
        <v>8622</v>
      </c>
      <c r="G59" s="11"/>
      <c r="H59" s="11"/>
      <c r="I59" s="11"/>
      <c r="J59" s="11"/>
      <c r="K59" s="11">
        <v>835</v>
      </c>
      <c r="L59" s="11">
        <v>1739</v>
      </c>
      <c r="M59" s="11">
        <v>522</v>
      </c>
      <c r="N59" s="11">
        <v>592</v>
      </c>
      <c r="O59" s="11">
        <v>1009</v>
      </c>
      <c r="P59" s="11">
        <v>1952</v>
      </c>
      <c r="Q59" s="11">
        <v>366</v>
      </c>
      <c r="R59" s="11">
        <v>108</v>
      </c>
      <c r="S59" s="11">
        <v>222</v>
      </c>
      <c r="T59" s="11">
        <v>42</v>
      </c>
      <c r="U59" s="11">
        <v>0</v>
      </c>
      <c r="V59" s="11">
        <v>250</v>
      </c>
      <c r="W59" s="11">
        <v>0</v>
      </c>
      <c r="X59" s="30" t="s">
        <v>133</v>
      </c>
      <c r="Y59" s="24"/>
      <c r="AC59" s="3">
        <f>90*1.0552</f>
        <v>94.96799999999999</v>
      </c>
      <c r="AD59" s="3">
        <v>95</v>
      </c>
    </row>
    <row r="60" spans="2:25" s="3" customFormat="1" ht="15.75">
      <c r="B60" s="39">
        <f t="shared" si="6"/>
        <v>53</v>
      </c>
      <c r="C60" s="1" t="s">
        <v>162</v>
      </c>
      <c r="D60" s="11">
        <v>535</v>
      </c>
      <c r="E60" s="11">
        <v>102</v>
      </c>
      <c r="F60" s="11">
        <f>48+2419</f>
        <v>2467</v>
      </c>
      <c r="G60" s="11">
        <f>479+514</f>
        <v>993</v>
      </c>
      <c r="H60" s="11">
        <f>34+40</f>
        <v>74</v>
      </c>
      <c r="I60" s="11">
        <v>36</v>
      </c>
      <c r="J60" s="11">
        <v>80</v>
      </c>
      <c r="K60" s="11">
        <v>94</v>
      </c>
      <c r="L60" s="11">
        <v>127</v>
      </c>
      <c r="M60" s="11">
        <v>113</v>
      </c>
      <c r="N60" s="11">
        <v>448</v>
      </c>
      <c r="O60" s="11">
        <f>7152+43</f>
        <v>7195</v>
      </c>
      <c r="P60" s="11">
        <f>6051+43</f>
        <v>6094</v>
      </c>
      <c r="Q60" s="11">
        <f>6253+19</f>
        <v>6272</v>
      </c>
      <c r="R60" s="11">
        <v>6022</v>
      </c>
      <c r="S60" s="11">
        <f>4557+60</f>
        <v>4617</v>
      </c>
      <c r="T60" s="11">
        <f>7746+14</f>
        <v>7760</v>
      </c>
      <c r="U60" s="11">
        <v>5500</v>
      </c>
      <c r="V60" s="11">
        <v>5000</v>
      </c>
      <c r="W60" s="11">
        <v>5000</v>
      </c>
      <c r="X60" s="30" t="s">
        <v>133</v>
      </c>
      <c r="Y60" s="24" t="s">
        <v>169</v>
      </c>
    </row>
    <row r="61" spans="2:25" ht="15.75">
      <c r="B61" s="39">
        <f t="shared" si="6"/>
        <v>54</v>
      </c>
      <c r="C61" s="1" t="s">
        <v>221</v>
      </c>
      <c r="D61" s="11">
        <v>866</v>
      </c>
      <c r="E61" s="11"/>
      <c r="F61" s="11"/>
      <c r="G61" s="11"/>
      <c r="H61" s="11"/>
      <c r="I61" s="11"/>
      <c r="J61" s="11">
        <v>19998</v>
      </c>
      <c r="K61" s="11">
        <v>0</v>
      </c>
      <c r="L61" s="11">
        <v>0</v>
      </c>
      <c r="M61" s="11">
        <v>30000</v>
      </c>
      <c r="N61" s="11">
        <v>26857</v>
      </c>
      <c r="O61" s="11">
        <v>0</v>
      </c>
      <c r="P61" s="11">
        <v>13700</v>
      </c>
      <c r="Q61" s="11">
        <v>0</v>
      </c>
      <c r="R61" s="11">
        <v>148919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30" t="s">
        <v>133</v>
      </c>
      <c r="Y61" s="24" t="s">
        <v>220</v>
      </c>
    </row>
    <row r="62" spans="2:26" ht="15.75">
      <c r="B62" s="39">
        <f t="shared" si="6"/>
        <v>55</v>
      </c>
      <c r="C62" s="1" t="s">
        <v>136</v>
      </c>
      <c r="D62" s="11">
        <f>665</f>
        <v>665</v>
      </c>
      <c r="E62" s="11">
        <f>560+439</f>
        <v>999</v>
      </c>
      <c r="F62" s="11">
        <f>420+2940</f>
        <v>3360</v>
      </c>
      <c r="G62" s="11">
        <f>91+5021</f>
        <v>5112</v>
      </c>
      <c r="H62" s="11">
        <f>173+84601</f>
        <v>84774</v>
      </c>
      <c r="I62" s="11">
        <v>4258</v>
      </c>
      <c r="J62" s="11">
        <f>500+3633</f>
        <v>4133</v>
      </c>
      <c r="K62" s="11">
        <f>425+2460</f>
        <v>2885</v>
      </c>
      <c r="L62" s="11">
        <f>670+8668</f>
        <v>9338</v>
      </c>
      <c r="M62" s="11">
        <f>1514+745</f>
        <v>2259</v>
      </c>
      <c r="N62" s="11">
        <f>3847+52+1725</f>
        <v>5624</v>
      </c>
      <c r="O62" s="11">
        <f>1590+1294</f>
        <v>2884</v>
      </c>
      <c r="P62" s="11">
        <v>1450</v>
      </c>
      <c r="Q62" s="11">
        <f>9668+1355</f>
        <v>11023</v>
      </c>
      <c r="R62" s="11">
        <v>2865</v>
      </c>
      <c r="S62" s="11">
        <f>171+1360</f>
        <v>1531</v>
      </c>
      <c r="T62" s="11">
        <f>1155+2685</f>
        <v>3840</v>
      </c>
      <c r="U62" s="11">
        <v>1200</v>
      </c>
      <c r="V62" s="11">
        <v>2500</v>
      </c>
      <c r="W62" s="11">
        <v>2500</v>
      </c>
      <c r="X62" s="30" t="s">
        <v>133</v>
      </c>
      <c r="Z62" s="15"/>
    </row>
    <row r="63" spans="2:25" ht="15.75">
      <c r="B63" s="39">
        <f t="shared" si="6"/>
        <v>56</v>
      </c>
      <c r="C63" s="1" t="s">
        <v>178</v>
      </c>
      <c r="D63" s="11">
        <v>37561</v>
      </c>
      <c r="E63" s="11">
        <v>150</v>
      </c>
      <c r="F63" s="11">
        <v>16946</v>
      </c>
      <c r="G63" s="11">
        <v>13966</v>
      </c>
      <c r="H63" s="11">
        <v>91</v>
      </c>
      <c r="I63" s="11"/>
      <c r="J63" s="11"/>
      <c r="K63" s="11">
        <v>348</v>
      </c>
      <c r="L63" s="11">
        <v>500</v>
      </c>
      <c r="M63" s="11">
        <v>0</v>
      </c>
      <c r="N63" s="11">
        <v>0</v>
      </c>
      <c r="O63" s="11">
        <v>0</v>
      </c>
      <c r="P63" s="11">
        <v>135242</v>
      </c>
      <c r="Q63" s="11">
        <v>152342</v>
      </c>
      <c r="R63" s="11">
        <v>126967</v>
      </c>
      <c r="S63" s="11">
        <v>0</v>
      </c>
      <c r="T63" s="11">
        <v>0</v>
      </c>
      <c r="U63" s="11">
        <v>5700</v>
      </c>
      <c r="V63" s="11">
        <v>100</v>
      </c>
      <c r="W63" s="11">
        <v>100</v>
      </c>
      <c r="X63" s="30" t="s">
        <v>133</v>
      </c>
      <c r="Y63" s="24" t="s">
        <v>86</v>
      </c>
    </row>
    <row r="64" spans="2:25" s="3" customFormat="1" ht="15.75">
      <c r="B64" s="39">
        <f t="shared" si="6"/>
        <v>57</v>
      </c>
      <c r="C64" s="3" t="s">
        <v>80</v>
      </c>
      <c r="D64" s="16">
        <f>SUM(D50:D63)</f>
        <v>178902</v>
      </c>
      <c r="E64" s="16">
        <f>SUM(E50:E63)</f>
        <v>111510</v>
      </c>
      <c r="F64" s="16">
        <f>SUM(F50:F63)</f>
        <v>106211</v>
      </c>
      <c r="G64" s="16">
        <f aca="true" t="shared" si="7" ref="G64:Q64">SUM(G48:G63)</f>
        <v>472291</v>
      </c>
      <c r="H64" s="16">
        <f t="shared" si="7"/>
        <v>506203</v>
      </c>
      <c r="I64" s="16">
        <f t="shared" si="7"/>
        <v>554120</v>
      </c>
      <c r="J64" s="16">
        <f t="shared" si="7"/>
        <v>664985</v>
      </c>
      <c r="K64" s="16">
        <f t="shared" si="7"/>
        <v>667747</v>
      </c>
      <c r="L64" s="16">
        <f t="shared" si="7"/>
        <v>736248</v>
      </c>
      <c r="M64" s="16">
        <f t="shared" si="7"/>
        <v>505812</v>
      </c>
      <c r="N64" s="16">
        <f t="shared" si="7"/>
        <v>466991</v>
      </c>
      <c r="O64" s="16">
        <f t="shared" si="7"/>
        <v>562687</v>
      </c>
      <c r="P64" s="16">
        <f t="shared" si="7"/>
        <v>701435</v>
      </c>
      <c r="Q64" s="16">
        <f t="shared" si="7"/>
        <v>764716</v>
      </c>
      <c r="R64" s="16">
        <f aca="true" t="shared" si="8" ref="R64:W64">SUM(R48:R63)</f>
        <v>888515</v>
      </c>
      <c r="S64" s="16">
        <f t="shared" si="8"/>
        <v>585603</v>
      </c>
      <c r="T64" s="16">
        <f t="shared" si="8"/>
        <v>718867</v>
      </c>
      <c r="U64" s="16">
        <f t="shared" si="8"/>
        <v>782450</v>
      </c>
      <c r="V64" s="16">
        <f t="shared" si="8"/>
        <v>713600</v>
      </c>
      <c r="W64" s="16">
        <f t="shared" si="8"/>
        <v>798325</v>
      </c>
      <c r="X64" s="30"/>
      <c r="Y64" s="24"/>
    </row>
    <row r="65" spans="2:25" s="3" customFormat="1" ht="15.75">
      <c r="B65" s="39">
        <f t="shared" si="6"/>
        <v>58</v>
      </c>
      <c r="C65" s="3" t="s">
        <v>25</v>
      </c>
      <c r="D65" s="18">
        <f aca="true" t="shared" si="9" ref="D65:I65">D20+D46+D64</f>
        <v>1992372</v>
      </c>
      <c r="E65" s="18">
        <f t="shared" si="9"/>
        <v>1976820</v>
      </c>
      <c r="F65" s="18">
        <f t="shared" si="9"/>
        <v>2057143</v>
      </c>
      <c r="G65" s="18">
        <f t="shared" si="9"/>
        <v>2524760</v>
      </c>
      <c r="H65" s="18">
        <f t="shared" si="9"/>
        <v>2604697</v>
      </c>
      <c r="I65" s="18">
        <f t="shared" si="9"/>
        <v>2659082</v>
      </c>
      <c r="J65" s="18">
        <f aca="true" t="shared" si="10" ref="J65:W65">J20+J46+J64+J25</f>
        <v>2746501.9</v>
      </c>
      <c r="K65" s="18">
        <f t="shared" si="10"/>
        <v>2853273</v>
      </c>
      <c r="L65" s="18">
        <f t="shared" si="10"/>
        <v>2935335</v>
      </c>
      <c r="M65" s="18">
        <f t="shared" si="10"/>
        <v>2779787</v>
      </c>
      <c r="N65" s="18">
        <f t="shared" si="10"/>
        <v>2803290</v>
      </c>
      <c r="O65" s="18">
        <f t="shared" si="10"/>
        <v>3043548</v>
      </c>
      <c r="P65" s="18">
        <f t="shared" si="10"/>
        <v>3326936</v>
      </c>
      <c r="Q65" s="18">
        <f t="shared" si="10"/>
        <v>3377146</v>
      </c>
      <c r="R65" s="18">
        <f>R20+R46+R64+R25</f>
        <v>3581875</v>
      </c>
      <c r="S65" s="18">
        <f>S20+S46+S64+S25</f>
        <v>3249885.32</v>
      </c>
      <c r="T65" s="18">
        <f>T20+T46+T64+T25</f>
        <v>3658583</v>
      </c>
      <c r="U65" s="18">
        <f>U20+U46+U64+U25</f>
        <v>3700864.58</v>
      </c>
      <c r="V65" s="18">
        <f>V20+V46+V64+V25</f>
        <v>3644550.6324000005</v>
      </c>
      <c r="W65" s="18">
        <f t="shared" si="10"/>
        <v>3898221.432816</v>
      </c>
      <c r="X65" s="30"/>
      <c r="Y65" s="24"/>
    </row>
    <row r="66" spans="2:25" s="3" customFormat="1" ht="15.75">
      <c r="B66" s="1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30"/>
      <c r="Y66" s="24"/>
    </row>
    <row r="67" spans="2:25" s="3" customFormat="1" ht="29.25" customHeight="1">
      <c r="B67" s="1">
        <f>B65+1</f>
        <v>59</v>
      </c>
      <c r="C67" s="3" t="s">
        <v>26</v>
      </c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32"/>
      <c r="Y67" s="26"/>
    </row>
    <row r="68" spans="2:25" ht="15.75">
      <c r="B68" s="1">
        <f aca="true" t="shared" si="11" ref="B68:B85">B67+1</f>
        <v>60</v>
      </c>
      <c r="C68" s="1" t="s">
        <v>74</v>
      </c>
      <c r="D68" s="11">
        <v>778</v>
      </c>
      <c r="E68" s="11">
        <v>8869</v>
      </c>
      <c r="F68" s="11">
        <v>2107</v>
      </c>
      <c r="G68" s="11">
        <v>4250</v>
      </c>
      <c r="H68" s="11">
        <v>4303</v>
      </c>
      <c r="I68" s="11">
        <v>10100</v>
      </c>
      <c r="J68" s="11">
        <v>4684</v>
      </c>
      <c r="K68" s="11">
        <v>18324</v>
      </c>
      <c r="L68" s="11">
        <v>11444</v>
      </c>
      <c r="M68" s="11">
        <v>14911</v>
      </c>
      <c r="N68" s="11">
        <v>12155</v>
      </c>
      <c r="O68" s="11">
        <v>2663</v>
      </c>
      <c r="P68" s="11">
        <v>6408</v>
      </c>
      <c r="Q68" s="11">
        <v>2613</v>
      </c>
      <c r="R68" s="11">
        <v>6101</v>
      </c>
      <c r="S68" s="11">
        <v>7192</v>
      </c>
      <c r="T68" s="11">
        <v>5175</v>
      </c>
      <c r="U68" s="11">
        <v>5000</v>
      </c>
      <c r="V68" s="11">
        <v>6500</v>
      </c>
      <c r="W68" s="11">
        <v>6500</v>
      </c>
      <c r="X68" s="30" t="s">
        <v>141</v>
      </c>
      <c r="Y68" s="24" t="s">
        <v>199</v>
      </c>
    </row>
    <row r="69" spans="2:25" ht="15.75">
      <c r="B69" s="1">
        <f t="shared" si="11"/>
        <v>61</v>
      </c>
      <c r="C69" s="1" t="s">
        <v>27</v>
      </c>
      <c r="D69" s="11">
        <f>172261-64956-D70-D71-D87</f>
        <v>52135</v>
      </c>
      <c r="E69" s="11">
        <f>147378-52075+252-E70-E71-E87</f>
        <v>43791</v>
      </c>
      <c r="F69" s="11">
        <f>134181-F105+155-F70-F71-F87</f>
        <v>49201</v>
      </c>
      <c r="G69" s="11">
        <f>152978-G105-G70-G71-G87</f>
        <v>47689</v>
      </c>
      <c r="H69" s="11">
        <f>158439-H105-H70-H71</f>
        <v>62079</v>
      </c>
      <c r="I69" s="11">
        <v>38370</v>
      </c>
      <c r="J69" s="11">
        <f>120686-J70-J71-J105-J87</f>
        <v>68792</v>
      </c>
      <c r="K69" s="11">
        <f>147334-K70-K71-K105+18000</f>
        <v>113965</v>
      </c>
      <c r="L69" s="11">
        <f>163267-37931-14450-60546</f>
        <v>50340</v>
      </c>
      <c r="M69" s="11">
        <f>150312-14911-38178-14950-41923</f>
        <v>40350</v>
      </c>
      <c r="N69" s="11">
        <f>155716-N70-N71-N105-N68</f>
        <v>92139</v>
      </c>
      <c r="O69" s="11">
        <f>171641-2663-24796-14500-61256</f>
        <v>68426</v>
      </c>
      <c r="P69" s="11">
        <f>291852-6408-38306-14500-177986</f>
        <v>54652</v>
      </c>
      <c r="Q69" s="11">
        <f>199556-2613-40645-15000-67618</f>
        <v>73680</v>
      </c>
      <c r="R69" s="11">
        <f>185678-6101-35250-15500-69873</f>
        <v>58954</v>
      </c>
      <c r="S69" s="11">
        <f>183476-7192-38179-16500-52770</f>
        <v>68835</v>
      </c>
      <c r="T69" s="11">
        <f>191223-5175-37751-16500-43909</f>
        <v>87888</v>
      </c>
      <c r="U69" s="11">
        <v>60000</v>
      </c>
      <c r="V69" s="11">
        <v>70000</v>
      </c>
      <c r="W69" s="11">
        <v>75000</v>
      </c>
      <c r="X69" s="30" t="s">
        <v>141</v>
      </c>
      <c r="Y69" s="24" t="s">
        <v>147</v>
      </c>
    </row>
    <row r="70" spans="2:25" ht="15.75">
      <c r="B70" s="1">
        <f t="shared" si="11"/>
        <v>62</v>
      </c>
      <c r="C70" s="1" t="s">
        <v>75</v>
      </c>
      <c r="D70" s="11">
        <v>44038</v>
      </c>
      <c r="E70" s="11">
        <v>40087</v>
      </c>
      <c r="F70" s="11">
        <v>36618</v>
      </c>
      <c r="G70" s="11">
        <v>38419</v>
      </c>
      <c r="H70" s="11">
        <v>38737</v>
      </c>
      <c r="I70" s="11">
        <v>36294</v>
      </c>
      <c r="J70" s="11">
        <v>38025</v>
      </c>
      <c r="K70" s="11">
        <v>37419</v>
      </c>
      <c r="L70" s="11">
        <v>37931</v>
      </c>
      <c r="M70" s="11">
        <v>38178</v>
      </c>
      <c r="N70" s="11">
        <v>37922</v>
      </c>
      <c r="O70" s="11">
        <v>34796</v>
      </c>
      <c r="P70" s="11">
        <v>38306</v>
      </c>
      <c r="Q70" s="11">
        <v>40645</v>
      </c>
      <c r="R70" s="11">
        <v>35250</v>
      </c>
      <c r="S70" s="11">
        <v>38179</v>
      </c>
      <c r="T70" s="11">
        <v>37751</v>
      </c>
      <c r="U70" s="11">
        <v>40000</v>
      </c>
      <c r="V70" s="11">
        <v>48000</v>
      </c>
      <c r="W70" s="11">
        <v>48000</v>
      </c>
      <c r="X70" s="30" t="s">
        <v>144</v>
      </c>
      <c r="Y70" s="24" t="s">
        <v>88</v>
      </c>
    </row>
    <row r="71" spans="2:25" ht="15.75">
      <c r="B71" s="1">
        <f t="shared" si="11"/>
        <v>63</v>
      </c>
      <c r="C71" s="1" t="s">
        <v>76</v>
      </c>
      <c r="D71" s="11">
        <v>9162</v>
      </c>
      <c r="E71" s="11">
        <v>9194</v>
      </c>
      <c r="F71" s="11">
        <v>9500</v>
      </c>
      <c r="G71" s="11">
        <v>10000</v>
      </c>
      <c r="H71" s="11">
        <f>61187-38737-7450</f>
        <v>15000</v>
      </c>
      <c r="I71" s="11">
        <v>12500</v>
      </c>
      <c r="J71" s="11">
        <v>11000</v>
      </c>
      <c r="K71" s="11">
        <v>13950</v>
      </c>
      <c r="L71" s="11">
        <v>14450</v>
      </c>
      <c r="M71" s="11">
        <v>14950</v>
      </c>
      <c r="N71" s="11">
        <v>13500</v>
      </c>
      <c r="O71" s="11">
        <v>14500</v>
      </c>
      <c r="P71" s="11">
        <v>14500</v>
      </c>
      <c r="Q71" s="11">
        <v>15000</v>
      </c>
      <c r="R71" s="11">
        <v>15500</v>
      </c>
      <c r="S71" s="11">
        <v>16500</v>
      </c>
      <c r="T71" s="11">
        <v>16500</v>
      </c>
      <c r="U71" s="11">
        <v>17000</v>
      </c>
      <c r="V71" s="11">
        <v>18000</v>
      </c>
      <c r="W71" s="11">
        <v>18000</v>
      </c>
      <c r="X71" s="30" t="s">
        <v>144</v>
      </c>
      <c r="Y71" s="24" t="s">
        <v>88</v>
      </c>
    </row>
    <row r="72" spans="2:25" ht="15.75">
      <c r="B72" s="1">
        <f t="shared" si="11"/>
        <v>64</v>
      </c>
      <c r="C72" s="1" t="s">
        <v>28</v>
      </c>
      <c r="D72" s="11">
        <v>64956</v>
      </c>
      <c r="E72" s="11">
        <f>52075</f>
        <v>52075</v>
      </c>
      <c r="F72" s="11">
        <v>35779</v>
      </c>
      <c r="G72" s="11">
        <v>54298</v>
      </c>
      <c r="H72" s="11">
        <v>42623</v>
      </c>
      <c r="I72" s="11">
        <v>31399</v>
      </c>
      <c r="J72" s="11">
        <v>32779</v>
      </c>
      <c r="K72" s="11">
        <v>48997</v>
      </c>
      <c r="L72" s="11">
        <v>60546</v>
      </c>
      <c r="M72" s="11">
        <v>41923</v>
      </c>
      <c r="N72" s="11">
        <v>43490</v>
      </c>
      <c r="O72" s="11">
        <f>115328</f>
        <v>115328</v>
      </c>
      <c r="P72" s="11">
        <f>177986+135242</f>
        <v>313228</v>
      </c>
      <c r="Q72" s="11">
        <v>67618</v>
      </c>
      <c r="R72" s="11">
        <v>69873</v>
      </c>
      <c r="S72" s="11">
        <v>52770</v>
      </c>
      <c r="T72" s="11">
        <v>43909</v>
      </c>
      <c r="U72" s="11">
        <v>35000</v>
      </c>
      <c r="V72" s="11">
        <v>100000</v>
      </c>
      <c r="W72" s="11">
        <v>100000</v>
      </c>
      <c r="X72" s="30" t="s">
        <v>144</v>
      </c>
      <c r="Y72" s="24" t="s">
        <v>88</v>
      </c>
    </row>
    <row r="73" spans="2:28" ht="15.75">
      <c r="B73" s="1">
        <f t="shared" si="11"/>
        <v>65</v>
      </c>
      <c r="C73" s="1" t="s">
        <v>29</v>
      </c>
      <c r="D73" s="11">
        <v>636666</v>
      </c>
      <c r="E73" s="11">
        <v>650981</v>
      </c>
      <c r="F73" s="11">
        <v>588011</v>
      </c>
      <c r="G73" s="11">
        <v>658030</v>
      </c>
      <c r="H73" s="11">
        <v>665189</v>
      </c>
      <c r="I73" s="11">
        <v>664581</v>
      </c>
      <c r="J73" s="11">
        <v>633428</v>
      </c>
      <c r="K73" s="11">
        <f>678890-18000</f>
        <v>660890</v>
      </c>
      <c r="L73" s="11">
        <v>686036</v>
      </c>
      <c r="M73" s="11">
        <v>694000</v>
      </c>
      <c r="N73" s="11">
        <f>715933-3646</f>
        <v>712287</v>
      </c>
      <c r="O73" s="11">
        <v>687422</v>
      </c>
      <c r="P73" s="11">
        <v>692184</v>
      </c>
      <c r="Q73" s="11">
        <v>638500</v>
      </c>
      <c r="R73" s="11">
        <v>739957</v>
      </c>
      <c r="S73" s="11">
        <v>639705</v>
      </c>
      <c r="T73" s="11">
        <v>711931</v>
      </c>
      <c r="U73" s="11">
        <v>726000</v>
      </c>
      <c r="V73" s="11">
        <v>808000</v>
      </c>
      <c r="W73" s="11">
        <f>933392+15000</f>
        <v>948392</v>
      </c>
      <c r="X73" s="30" t="s">
        <v>141</v>
      </c>
      <c r="AB73" s="40"/>
    </row>
    <row r="74" spans="2:28" ht="15.75">
      <c r="B74" s="1">
        <f t="shared" si="11"/>
        <v>66</v>
      </c>
      <c r="C74" s="1" t="s">
        <v>30</v>
      </c>
      <c r="D74" s="11">
        <v>138283</v>
      </c>
      <c r="E74" s="11">
        <v>129425</v>
      </c>
      <c r="F74" s="11">
        <v>124821</v>
      </c>
      <c r="G74" s="11">
        <v>126702</v>
      </c>
      <c r="H74" s="11">
        <v>105045</v>
      </c>
      <c r="I74" s="11">
        <v>111059</v>
      </c>
      <c r="J74" s="11">
        <v>102920</v>
      </c>
      <c r="K74" s="11">
        <v>100492</v>
      </c>
      <c r="L74" s="11">
        <f>108898-800</f>
        <v>108098</v>
      </c>
      <c r="M74" s="11">
        <v>109211</v>
      </c>
      <c r="N74" s="11">
        <f>115819-800</f>
        <v>115019</v>
      </c>
      <c r="O74" s="11">
        <v>115426</v>
      </c>
      <c r="P74" s="11">
        <v>124653</v>
      </c>
      <c r="Q74" s="11">
        <v>126264</v>
      </c>
      <c r="R74" s="11">
        <v>144388</v>
      </c>
      <c r="S74" s="11">
        <v>163307</v>
      </c>
      <c r="T74" s="11">
        <v>189644</v>
      </c>
      <c r="U74" s="11">
        <v>173000</v>
      </c>
      <c r="V74" s="11">
        <v>165000</v>
      </c>
      <c r="W74" s="11">
        <v>180000</v>
      </c>
      <c r="X74" s="30" t="s">
        <v>141</v>
      </c>
      <c r="Y74" s="24" t="s">
        <v>88</v>
      </c>
      <c r="AB74" s="64"/>
    </row>
    <row r="75" spans="2:25" ht="15.75">
      <c r="B75" s="1">
        <f t="shared" si="11"/>
        <v>67</v>
      </c>
      <c r="C75" s="1" t="s">
        <v>92</v>
      </c>
      <c r="D75" s="11">
        <v>198367</v>
      </c>
      <c r="E75" s="11">
        <v>150830</v>
      </c>
      <c r="F75" s="11">
        <v>149710</v>
      </c>
      <c r="G75" s="11">
        <v>178730</v>
      </c>
      <c r="H75" s="11">
        <v>173449</v>
      </c>
      <c r="I75" s="11">
        <v>172527</v>
      </c>
      <c r="J75" s="11">
        <v>185335</v>
      </c>
      <c r="K75" s="11">
        <v>166602</v>
      </c>
      <c r="L75" s="11">
        <v>192358</v>
      </c>
      <c r="M75" s="11">
        <v>193295</v>
      </c>
      <c r="N75" s="11">
        <v>162654</v>
      </c>
      <c r="O75" s="11">
        <v>223714</v>
      </c>
      <c r="P75" s="11">
        <v>230000</v>
      </c>
      <c r="Q75" s="11">
        <v>211315</v>
      </c>
      <c r="R75" s="11">
        <v>201187</v>
      </c>
      <c r="S75" s="11">
        <v>281088</v>
      </c>
      <c r="T75" s="11">
        <v>275064</v>
      </c>
      <c r="U75" s="11">
        <v>280000</v>
      </c>
      <c r="V75" s="11">
        <f>25000*12</f>
        <v>300000</v>
      </c>
      <c r="W75" s="11">
        <f>25000*12</f>
        <v>300000</v>
      </c>
      <c r="X75" s="30" t="s">
        <v>133</v>
      </c>
      <c r="Y75" s="26" t="s">
        <v>88</v>
      </c>
    </row>
    <row r="76" spans="2:25" ht="15.75">
      <c r="B76" s="1">
        <f t="shared" si="11"/>
        <v>68</v>
      </c>
      <c r="C76" s="1" t="s">
        <v>93</v>
      </c>
      <c r="D76" s="11">
        <v>198367</v>
      </c>
      <c r="E76" s="11">
        <v>12699</v>
      </c>
      <c r="F76" s="11">
        <v>28877</v>
      </c>
      <c r="G76" s="11">
        <v>21367</v>
      </c>
      <c r="H76" s="11">
        <v>27359</v>
      </c>
      <c r="I76" s="11">
        <v>36002</v>
      </c>
      <c r="J76" s="11">
        <f>22452+8000</f>
        <v>30452</v>
      </c>
      <c r="K76" s="11">
        <v>28779</v>
      </c>
      <c r="L76" s="11">
        <v>32511</v>
      </c>
      <c r="M76" s="11">
        <v>31849</v>
      </c>
      <c r="N76" s="11">
        <v>48227</v>
      </c>
      <c r="O76" s="11">
        <v>35783</v>
      </c>
      <c r="P76" s="11">
        <v>38200</v>
      </c>
      <c r="Q76" s="11">
        <f>69741-30000</f>
        <v>39741</v>
      </c>
      <c r="R76" s="11">
        <f>1990+90563-55307</f>
        <v>37246</v>
      </c>
      <c r="S76" s="11">
        <v>39865</v>
      </c>
      <c r="T76" s="11">
        <v>43196</v>
      </c>
      <c r="U76" s="11">
        <v>45000</v>
      </c>
      <c r="V76" s="11">
        <v>43000</v>
      </c>
      <c r="W76" s="11">
        <v>50000</v>
      </c>
      <c r="X76" s="30" t="s">
        <v>133</v>
      </c>
      <c r="Y76" s="26"/>
    </row>
    <row r="77" spans="2:25" ht="15.75">
      <c r="B77" s="1">
        <f t="shared" si="11"/>
        <v>69</v>
      </c>
      <c r="C77" s="1" t="s">
        <v>94</v>
      </c>
      <c r="D77" s="11">
        <v>198367</v>
      </c>
      <c r="E77" s="11"/>
      <c r="F77" s="11"/>
      <c r="G77" s="11"/>
      <c r="H77" s="11">
        <v>7492</v>
      </c>
      <c r="I77" s="11">
        <v>22161</v>
      </c>
      <c r="J77" s="11">
        <f>34476-8000</f>
        <v>26476</v>
      </c>
      <c r="K77" s="11">
        <v>27309</v>
      </c>
      <c r="L77" s="11">
        <v>27163</v>
      </c>
      <c r="M77" s="11">
        <v>26633</v>
      </c>
      <c r="N77" s="11">
        <v>30971</v>
      </c>
      <c r="O77" s="11">
        <v>32238</v>
      </c>
      <c r="P77" s="11">
        <v>26802</v>
      </c>
      <c r="Q77" s="11">
        <v>30085</v>
      </c>
      <c r="R77" s="11">
        <v>31819</v>
      </c>
      <c r="S77" s="11">
        <v>38097</v>
      </c>
      <c r="T77" s="11">
        <v>36922</v>
      </c>
      <c r="U77" s="11">
        <v>40000</v>
      </c>
      <c r="V77" s="11">
        <v>40000</v>
      </c>
      <c r="W77" s="11">
        <v>45000</v>
      </c>
      <c r="X77" s="30" t="s">
        <v>133</v>
      </c>
      <c r="Y77" s="26"/>
    </row>
    <row r="78" spans="2:25" ht="15.75">
      <c r="B78" s="1">
        <f t="shared" si="11"/>
        <v>70</v>
      </c>
      <c r="C78" s="1" t="s">
        <v>95</v>
      </c>
      <c r="D78" s="11">
        <v>198367</v>
      </c>
      <c r="E78" s="11">
        <v>35787</v>
      </c>
      <c r="F78" s="11">
        <v>42379</v>
      </c>
      <c r="G78" s="11">
        <v>40794</v>
      </c>
      <c r="H78" s="11">
        <v>51481</v>
      </c>
      <c r="I78" s="11">
        <v>44518</v>
      </c>
      <c r="J78" s="11">
        <v>45366</v>
      </c>
      <c r="K78" s="11">
        <v>52246</v>
      </c>
      <c r="L78" s="11">
        <v>52045</v>
      </c>
      <c r="M78" s="11">
        <v>46072</v>
      </c>
      <c r="N78" s="11">
        <v>49072</v>
      </c>
      <c r="O78" s="11">
        <v>48044</v>
      </c>
      <c r="P78" s="11">
        <v>52392</v>
      </c>
      <c r="Q78" s="11">
        <v>69741</v>
      </c>
      <c r="R78" s="11">
        <v>62552</v>
      </c>
      <c r="S78" s="11">
        <v>98269</v>
      </c>
      <c r="T78" s="11">
        <v>114138</v>
      </c>
      <c r="U78" s="11">
        <v>118000</v>
      </c>
      <c r="V78" s="11">
        <v>115000</v>
      </c>
      <c r="W78" s="11">
        <v>120000</v>
      </c>
      <c r="X78" s="30" t="s">
        <v>133</v>
      </c>
      <c r="Y78" s="26"/>
    </row>
    <row r="79" spans="2:25" ht="15.75">
      <c r="B79" s="1">
        <f t="shared" si="11"/>
        <v>71</v>
      </c>
      <c r="C79" s="1" t="s">
        <v>31</v>
      </c>
      <c r="D79" s="11">
        <f>159279-D89-D85-D81</f>
        <v>67554</v>
      </c>
      <c r="E79" s="11">
        <f>173791-E81-E85-E89+324</f>
        <v>66212</v>
      </c>
      <c r="F79" s="11">
        <f>182105-F81-F85-F89</f>
        <v>66305</v>
      </c>
      <c r="G79" s="11">
        <f>756927-G81-G85-G89</f>
        <v>67905</v>
      </c>
      <c r="H79" s="11">
        <f>202426-H81-H85-H89</f>
        <v>51640</v>
      </c>
      <c r="I79" s="11">
        <v>54154</v>
      </c>
      <c r="J79" s="11">
        <f>143301-J81-J85-J89</f>
        <v>63613</v>
      </c>
      <c r="K79" s="11">
        <f>227603-K81-K85-K89</f>
        <v>51275</v>
      </c>
      <c r="L79" s="11">
        <f>215666-90405-13769-59010</f>
        <v>52482</v>
      </c>
      <c r="M79" s="11">
        <f>186688-90318-38980</f>
        <v>57390</v>
      </c>
      <c r="N79" s="11">
        <f>268396-N81-N85</f>
        <v>91668</v>
      </c>
      <c r="O79" s="11">
        <f>130290-66427-17020</f>
        <v>46843</v>
      </c>
      <c r="P79" s="11">
        <f>128542-93170-278</f>
        <v>35094</v>
      </c>
      <c r="Q79" s="11">
        <f>490+6080+66775</f>
        <v>73345</v>
      </c>
      <c r="R79" s="11">
        <v>65674</v>
      </c>
      <c r="S79" s="11">
        <f>176993-74325-34666</f>
        <v>68002</v>
      </c>
      <c r="T79" s="11">
        <f>168022-76522-40690</f>
        <v>50810</v>
      </c>
      <c r="U79" s="11">
        <v>40000</v>
      </c>
      <c r="V79" s="11">
        <v>75000</v>
      </c>
      <c r="W79" s="11">
        <v>80000</v>
      </c>
      <c r="X79" s="30" t="s">
        <v>144</v>
      </c>
      <c r="Y79" s="24" t="s">
        <v>200</v>
      </c>
    </row>
    <row r="80" spans="2:25" ht="15.75">
      <c r="B80" s="1">
        <f t="shared" si="11"/>
        <v>72</v>
      </c>
      <c r="C80" s="1" t="s">
        <v>32</v>
      </c>
      <c r="D80" s="11">
        <v>23381</v>
      </c>
      <c r="E80" s="11">
        <v>11342</v>
      </c>
      <c r="F80" s="11">
        <v>14807</v>
      </c>
      <c r="G80" s="11">
        <v>19636</v>
      </c>
      <c r="H80" s="11">
        <v>17643</v>
      </c>
      <c r="I80" s="11">
        <v>21874</v>
      </c>
      <c r="J80" s="11">
        <v>25166</v>
      </c>
      <c r="K80" s="11">
        <v>15396</v>
      </c>
      <c r="L80" s="11">
        <v>24183</v>
      </c>
      <c r="M80" s="11">
        <v>27015</v>
      </c>
      <c r="N80" s="11">
        <v>22371</v>
      </c>
      <c r="O80" s="11">
        <v>28328</v>
      </c>
      <c r="P80" s="11">
        <v>28666</v>
      </c>
      <c r="Q80" s="11">
        <v>26432</v>
      </c>
      <c r="R80" s="11">
        <v>26047</v>
      </c>
      <c r="S80" s="11">
        <v>32109</v>
      </c>
      <c r="T80" s="11">
        <v>33480</v>
      </c>
      <c r="U80" s="11">
        <v>25000</v>
      </c>
      <c r="V80" s="11">
        <v>32000</v>
      </c>
      <c r="W80" s="11">
        <v>35000</v>
      </c>
      <c r="X80" s="30" t="s">
        <v>141</v>
      </c>
      <c r="Y80" s="24" t="s">
        <v>137</v>
      </c>
    </row>
    <row r="81" spans="2:25" ht="15.75">
      <c r="B81" s="1">
        <f t="shared" si="11"/>
        <v>73</v>
      </c>
      <c r="C81" s="1" t="s">
        <v>33</v>
      </c>
      <c r="D81" s="11">
        <f>39751+2858</f>
        <v>42609</v>
      </c>
      <c r="E81" s="11">
        <f>44978+3169</f>
        <v>48147</v>
      </c>
      <c r="F81" s="11">
        <f>51767+2808</f>
        <v>54575</v>
      </c>
      <c r="G81" s="11">
        <v>66089</v>
      </c>
      <c r="H81" s="11">
        <v>48409</v>
      </c>
      <c r="I81" s="11">
        <v>35404</v>
      </c>
      <c r="J81" s="11">
        <v>30329</v>
      </c>
      <c r="K81" s="11">
        <v>43147</v>
      </c>
      <c r="L81" s="11">
        <v>59010</v>
      </c>
      <c r="M81" s="11">
        <v>38980</v>
      </c>
      <c r="N81" s="11">
        <v>63650</v>
      </c>
      <c r="O81" s="11">
        <v>66427</v>
      </c>
      <c r="P81" s="11">
        <v>93170</v>
      </c>
      <c r="Q81" s="11">
        <v>50821</v>
      </c>
      <c r="R81" s="11">
        <v>74454</v>
      </c>
      <c r="S81" s="11">
        <v>74325</v>
      </c>
      <c r="T81" s="11">
        <v>76522</v>
      </c>
      <c r="U81" s="11">
        <v>80000</v>
      </c>
      <c r="V81" s="11">
        <v>75000</v>
      </c>
      <c r="W81" s="11">
        <v>80000</v>
      </c>
      <c r="X81" s="30" t="s">
        <v>144</v>
      </c>
      <c r="Y81" s="24" t="s">
        <v>88</v>
      </c>
    </row>
    <row r="82" spans="2:25" ht="15.75">
      <c r="B82" s="1">
        <f t="shared" si="11"/>
        <v>74</v>
      </c>
      <c r="C82" s="1" t="s">
        <v>190</v>
      </c>
      <c r="D82" s="11">
        <v>32204</v>
      </c>
      <c r="E82" s="11">
        <v>106231</v>
      </c>
      <c r="F82" s="11">
        <v>50560</v>
      </c>
      <c r="G82" s="11">
        <v>56450</v>
      </c>
      <c r="H82" s="11">
        <v>27074</v>
      </c>
      <c r="I82" s="11">
        <v>21405</v>
      </c>
      <c r="J82" s="11">
        <v>25738</v>
      </c>
      <c r="K82" s="11">
        <v>28051</v>
      </c>
      <c r="L82" s="11">
        <v>29204</v>
      </c>
      <c r="M82" s="11">
        <v>25000</v>
      </c>
      <c r="N82" s="11">
        <v>16928</v>
      </c>
      <c r="O82" s="11">
        <v>29902</v>
      </c>
      <c r="P82" s="11">
        <v>25429</v>
      </c>
      <c r="Q82" s="11">
        <v>23736</v>
      </c>
      <c r="R82" s="11">
        <v>52378</v>
      </c>
      <c r="S82" s="11">
        <f>61690-32159</f>
        <v>29531</v>
      </c>
      <c r="T82" s="11">
        <v>34872</v>
      </c>
      <c r="U82" s="11">
        <v>36000</v>
      </c>
      <c r="V82" s="11">
        <v>30000</v>
      </c>
      <c r="W82" s="11">
        <v>30000</v>
      </c>
      <c r="X82" s="30" t="s">
        <v>141</v>
      </c>
      <c r="Y82" s="24" t="s">
        <v>88</v>
      </c>
    </row>
    <row r="83" spans="2:24" ht="15.75">
      <c r="B83" s="1">
        <f t="shared" si="11"/>
        <v>75</v>
      </c>
      <c r="C83" s="1" t="s">
        <v>34</v>
      </c>
      <c r="D83" s="11">
        <f>14700+2377</f>
        <v>17077</v>
      </c>
      <c r="E83" s="11">
        <f>13500+5713</f>
        <v>19213</v>
      </c>
      <c r="F83" s="11">
        <f>11800+2700</f>
        <v>14500</v>
      </c>
      <c r="G83" s="11">
        <f>14100+3001</f>
        <v>17101</v>
      </c>
      <c r="H83" s="11">
        <v>22395</v>
      </c>
      <c r="I83" s="11">
        <v>13947</v>
      </c>
      <c r="J83" s="11">
        <v>13224</v>
      </c>
      <c r="K83" s="11">
        <v>18841</v>
      </c>
      <c r="L83" s="11">
        <v>16631</v>
      </c>
      <c r="M83" s="11">
        <v>17333</v>
      </c>
      <c r="N83" s="11">
        <v>13620</v>
      </c>
      <c r="O83" s="11">
        <v>13984</v>
      </c>
      <c r="P83" s="11">
        <v>13043</v>
      </c>
      <c r="Q83" s="11">
        <v>15416</v>
      </c>
      <c r="R83" s="11">
        <v>16006</v>
      </c>
      <c r="S83" s="11">
        <v>14588</v>
      </c>
      <c r="T83" s="11">
        <v>18343</v>
      </c>
      <c r="U83" s="11">
        <v>17000</v>
      </c>
      <c r="V83" s="11">
        <v>25000</v>
      </c>
      <c r="W83" s="11">
        <v>25000</v>
      </c>
      <c r="X83" s="30" t="s">
        <v>133</v>
      </c>
    </row>
    <row r="84" spans="2:25" ht="15.75">
      <c r="B84" s="1">
        <f t="shared" si="11"/>
        <v>76</v>
      </c>
      <c r="C84" s="1" t="s">
        <v>81</v>
      </c>
      <c r="D84" s="11">
        <v>44227</v>
      </c>
      <c r="E84" s="11">
        <v>137375</v>
      </c>
      <c r="F84" s="11">
        <v>0</v>
      </c>
      <c r="G84" s="11">
        <v>0</v>
      </c>
      <c r="H84" s="11"/>
      <c r="I84" s="11"/>
      <c r="J84" s="11"/>
      <c r="K84" s="11"/>
      <c r="L84" s="11"/>
      <c r="M84" s="11"/>
      <c r="N84" s="11"/>
      <c r="O84" s="11"/>
      <c r="P84" s="11" t="s">
        <v>88</v>
      </c>
      <c r="Q84" s="11"/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1000000</v>
      </c>
      <c r="X84" s="30" t="s">
        <v>133</v>
      </c>
      <c r="Y84" s="24" t="s">
        <v>278</v>
      </c>
    </row>
    <row r="85" spans="2:24" ht="15.75">
      <c r="B85" s="1">
        <f t="shared" si="11"/>
        <v>77</v>
      </c>
      <c r="C85" s="1" t="s">
        <v>35</v>
      </c>
      <c r="D85" s="11">
        <v>47225</v>
      </c>
      <c r="E85" s="11">
        <v>48615</v>
      </c>
      <c r="F85" s="11">
        <v>39616</v>
      </c>
      <c r="G85" s="11">
        <v>33119</v>
      </c>
      <c r="H85" s="11">
        <v>36946</v>
      </c>
      <c r="I85" s="11">
        <v>4020</v>
      </c>
      <c r="J85" s="11">
        <v>30710</v>
      </c>
      <c r="K85" s="11">
        <v>0</v>
      </c>
      <c r="L85" s="11">
        <v>13769</v>
      </c>
      <c r="M85" s="11">
        <v>90318</v>
      </c>
      <c r="N85" s="11">
        <v>113078</v>
      </c>
      <c r="O85" s="11">
        <v>17020</v>
      </c>
      <c r="P85" s="11">
        <v>278</v>
      </c>
      <c r="Q85" s="11">
        <v>100</v>
      </c>
      <c r="R85" s="11">
        <v>19184</v>
      </c>
      <c r="S85" s="11">
        <v>34666</v>
      </c>
      <c r="T85" s="11">
        <v>40690</v>
      </c>
      <c r="U85" s="11">
        <v>45000</v>
      </c>
      <c r="V85" s="11">
        <v>50000</v>
      </c>
      <c r="W85" s="11">
        <v>50000</v>
      </c>
      <c r="X85" s="30" t="s">
        <v>141</v>
      </c>
    </row>
    <row r="86" spans="2:25" ht="15.75">
      <c r="B86" s="1">
        <f aca="true" t="shared" si="12" ref="B86:B100">B85+1</f>
        <v>78</v>
      </c>
      <c r="C86" s="1" t="s">
        <v>39</v>
      </c>
      <c r="D86" s="11">
        <v>3285</v>
      </c>
      <c r="E86" s="11">
        <v>2454</v>
      </c>
      <c r="F86" s="11">
        <v>3195</v>
      </c>
      <c r="G86" s="11">
        <v>5582</v>
      </c>
      <c r="H86" s="11">
        <v>6419</v>
      </c>
      <c r="I86" s="11">
        <v>5863</v>
      </c>
      <c r="J86" s="11">
        <v>5280</v>
      </c>
      <c r="K86" s="11">
        <v>5054</v>
      </c>
      <c r="L86" s="11">
        <v>4846</v>
      </c>
      <c r="M86" s="11">
        <v>4781</v>
      </c>
      <c r="N86" s="11">
        <v>4677</v>
      </c>
      <c r="O86" s="11">
        <v>5637</v>
      </c>
      <c r="P86" s="11">
        <v>5589</v>
      </c>
      <c r="Q86" s="11">
        <v>6411</v>
      </c>
      <c r="R86" s="11">
        <v>6160</v>
      </c>
      <c r="S86" s="11">
        <v>6357</v>
      </c>
      <c r="T86" s="11">
        <v>5425</v>
      </c>
      <c r="U86" s="11">
        <v>5393</v>
      </c>
      <c r="V86" s="11">
        <v>7000</v>
      </c>
      <c r="W86" s="11">
        <v>7000</v>
      </c>
      <c r="X86" s="30" t="s">
        <v>133</v>
      </c>
      <c r="Y86" s="24" t="s">
        <v>62</v>
      </c>
    </row>
    <row r="87" spans="2:25" ht="15.75">
      <c r="B87" s="1">
        <f t="shared" si="12"/>
        <v>79</v>
      </c>
      <c r="C87" s="1" t="s">
        <v>82</v>
      </c>
      <c r="D87" s="11">
        <v>1970</v>
      </c>
      <c r="E87" s="11">
        <v>2483</v>
      </c>
      <c r="F87" s="11">
        <v>3238</v>
      </c>
      <c r="G87" s="11">
        <v>2572</v>
      </c>
      <c r="H87" s="11">
        <v>3309</v>
      </c>
      <c r="I87" s="11">
        <v>2869</v>
      </c>
      <c r="J87" s="11">
        <v>2869</v>
      </c>
      <c r="K87" s="11">
        <v>4141</v>
      </c>
      <c r="L87" s="11">
        <v>4257</v>
      </c>
      <c r="M87" s="11">
        <v>4576</v>
      </c>
      <c r="N87" s="11">
        <v>4919</v>
      </c>
      <c r="O87" s="11">
        <v>5659</v>
      </c>
      <c r="P87" s="11">
        <v>6026</v>
      </c>
      <c r="Q87" s="11">
        <v>6358</v>
      </c>
      <c r="R87" s="11">
        <v>6740</v>
      </c>
      <c r="S87" s="11">
        <v>7077</v>
      </c>
      <c r="T87" s="11">
        <v>7253</v>
      </c>
      <c r="U87" s="11">
        <v>7615</v>
      </c>
      <c r="V87" s="11">
        <v>7500</v>
      </c>
      <c r="W87" s="11">
        <v>8000</v>
      </c>
      <c r="X87" s="30" t="s">
        <v>133</v>
      </c>
      <c r="Y87" s="24" t="s">
        <v>100</v>
      </c>
    </row>
    <row r="88" spans="2:25" ht="15.75">
      <c r="B88" s="1">
        <f t="shared" si="12"/>
        <v>80</v>
      </c>
      <c r="C88" s="1" t="s">
        <v>102</v>
      </c>
      <c r="D88" s="11"/>
      <c r="E88" s="11"/>
      <c r="F88" s="11"/>
      <c r="G88" s="11"/>
      <c r="H88" s="11"/>
      <c r="I88" s="11"/>
      <c r="J88" s="11"/>
      <c r="K88" s="11"/>
      <c r="L88" s="11">
        <v>8288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30" t="s">
        <v>133</v>
      </c>
      <c r="Y88" s="24" t="s">
        <v>103</v>
      </c>
    </row>
    <row r="89" spans="2:24" ht="15.75">
      <c r="B89" s="1">
        <f t="shared" si="12"/>
        <v>81</v>
      </c>
      <c r="C89" s="1" t="s">
        <v>40</v>
      </c>
      <c r="D89" s="11">
        <v>1891</v>
      </c>
      <c r="E89" s="11">
        <v>11141</v>
      </c>
      <c r="F89" s="11">
        <v>21609</v>
      </c>
      <c r="G89" s="11">
        <v>589814</v>
      </c>
      <c r="H89" s="11">
        <v>65431</v>
      </c>
      <c r="I89" s="11">
        <v>834</v>
      </c>
      <c r="J89" s="11">
        <v>18649</v>
      </c>
      <c r="K89" s="11">
        <v>133181</v>
      </c>
      <c r="L89" s="11">
        <v>90405</v>
      </c>
      <c r="M89" s="11">
        <v>1176600</v>
      </c>
      <c r="N89" s="11">
        <v>11534</v>
      </c>
      <c r="O89" s="11">
        <v>82602</v>
      </c>
      <c r="P89" s="11">
        <v>22750</v>
      </c>
      <c r="Q89" s="11">
        <v>203645</v>
      </c>
      <c r="R89" s="11">
        <v>202353</v>
      </c>
      <c r="S89" s="11">
        <v>1483856</v>
      </c>
      <c r="T89" s="11">
        <v>0</v>
      </c>
      <c r="U89" s="11">
        <v>0</v>
      </c>
      <c r="V89" s="11">
        <v>250000</v>
      </c>
      <c r="W89" s="11">
        <v>100000</v>
      </c>
      <c r="X89" s="30" t="s">
        <v>141</v>
      </c>
    </row>
    <row r="90" spans="2:25" ht="15.75">
      <c r="B90" s="1">
        <f t="shared" si="12"/>
        <v>82</v>
      </c>
      <c r="C90" s="1" t="s">
        <v>67</v>
      </c>
      <c r="D90" s="11">
        <v>519939</v>
      </c>
      <c r="E90" s="11">
        <v>525453</v>
      </c>
      <c r="F90" s="17">
        <v>529866</v>
      </c>
      <c r="G90" s="17">
        <v>629897</v>
      </c>
      <c r="H90" s="17">
        <v>562254</v>
      </c>
      <c r="I90" s="17">
        <v>709994</v>
      </c>
      <c r="J90" s="17">
        <v>764202</v>
      </c>
      <c r="K90" s="17">
        <v>768434</v>
      </c>
      <c r="L90" s="17">
        <v>762708</v>
      </c>
      <c r="M90" s="17">
        <v>766841</v>
      </c>
      <c r="N90" s="17">
        <v>949095</v>
      </c>
      <c r="O90" s="17">
        <v>920234</v>
      </c>
      <c r="P90" s="17">
        <v>924813</v>
      </c>
      <c r="Q90" s="17">
        <v>909479</v>
      </c>
      <c r="R90" s="17">
        <v>841062</v>
      </c>
      <c r="S90" s="17">
        <v>772652</v>
      </c>
      <c r="T90" s="17">
        <v>757058</v>
      </c>
      <c r="U90" s="17">
        <v>1000000</v>
      </c>
      <c r="V90" s="17">
        <v>1000000</v>
      </c>
      <c r="W90" s="17">
        <v>1500000</v>
      </c>
      <c r="X90" s="51" t="s">
        <v>144</v>
      </c>
      <c r="Y90" s="24" t="s">
        <v>257</v>
      </c>
    </row>
    <row r="91" spans="2:25" s="3" customFormat="1" ht="15.75">
      <c r="B91" s="1">
        <f t="shared" si="12"/>
        <v>83</v>
      </c>
      <c r="C91" s="3" t="s">
        <v>36</v>
      </c>
      <c r="D91" s="18">
        <f aca="true" t="shared" si="13" ref="D91:W91">SUM(D68:D90)</f>
        <v>2540848</v>
      </c>
      <c r="E91" s="18">
        <f t="shared" si="13"/>
        <v>2112404</v>
      </c>
      <c r="F91" s="20">
        <f t="shared" si="13"/>
        <v>1865274</v>
      </c>
      <c r="G91" s="20">
        <f t="shared" si="13"/>
        <v>2668444</v>
      </c>
      <c r="H91" s="20">
        <f t="shared" si="13"/>
        <v>2034277</v>
      </c>
      <c r="I91" s="20">
        <f t="shared" si="13"/>
        <v>2049875</v>
      </c>
      <c r="J91" s="20">
        <f t="shared" si="13"/>
        <v>2159037</v>
      </c>
      <c r="K91" s="20">
        <f t="shared" si="13"/>
        <v>2336493</v>
      </c>
      <c r="L91" s="20">
        <f t="shared" si="13"/>
        <v>2338705</v>
      </c>
      <c r="M91" s="20">
        <f t="shared" si="13"/>
        <v>3460206</v>
      </c>
      <c r="N91" s="20">
        <f t="shared" si="13"/>
        <v>2608976</v>
      </c>
      <c r="O91" s="20">
        <f t="shared" si="13"/>
        <v>2594976</v>
      </c>
      <c r="P91" s="20">
        <f t="shared" si="13"/>
        <v>2746183</v>
      </c>
      <c r="Q91" s="20">
        <f t="shared" si="13"/>
        <v>2630945</v>
      </c>
      <c r="R91" s="20">
        <f>SUM(R68:R90)</f>
        <v>2712885</v>
      </c>
      <c r="S91" s="20">
        <f>SUM(S68:S90)</f>
        <v>3966970</v>
      </c>
      <c r="T91" s="20">
        <f>SUM(T68:T90)</f>
        <v>2586571</v>
      </c>
      <c r="U91" s="20">
        <f>SUM(U68:U90)</f>
        <v>2795008</v>
      </c>
      <c r="V91" s="20">
        <f>SUM(V68:V90)</f>
        <v>3265000</v>
      </c>
      <c r="W91" s="20">
        <f t="shared" si="13"/>
        <v>4805892</v>
      </c>
      <c r="X91" s="30"/>
      <c r="Y91" s="24"/>
    </row>
    <row r="92" spans="2:25" s="3" customFormat="1" ht="15.75">
      <c r="B92" s="1">
        <f t="shared" si="12"/>
        <v>84</v>
      </c>
      <c r="C92" s="3" t="s">
        <v>110</v>
      </c>
      <c r="D92" s="18">
        <f aca="true" t="shared" si="14" ref="D92:W92">D65-D91</f>
        <v>-548476</v>
      </c>
      <c r="E92" s="18">
        <f t="shared" si="14"/>
        <v>-135584</v>
      </c>
      <c r="F92" s="18">
        <f t="shared" si="14"/>
        <v>191869</v>
      </c>
      <c r="G92" s="18">
        <f t="shared" si="14"/>
        <v>-143684</v>
      </c>
      <c r="H92" s="18">
        <f t="shared" si="14"/>
        <v>570420</v>
      </c>
      <c r="I92" s="18">
        <f t="shared" si="14"/>
        <v>609207</v>
      </c>
      <c r="J92" s="18">
        <f t="shared" si="14"/>
        <v>587464.8999999999</v>
      </c>
      <c r="K92" s="18">
        <f t="shared" si="14"/>
        <v>516780</v>
      </c>
      <c r="L92" s="18">
        <f t="shared" si="14"/>
        <v>596630</v>
      </c>
      <c r="M92" s="18">
        <f t="shared" si="14"/>
        <v>-680419</v>
      </c>
      <c r="N92" s="18">
        <f t="shared" si="14"/>
        <v>194314</v>
      </c>
      <c r="O92" s="18">
        <f t="shared" si="14"/>
        <v>448572</v>
      </c>
      <c r="P92" s="18">
        <f t="shared" si="14"/>
        <v>580753</v>
      </c>
      <c r="Q92" s="18">
        <f t="shared" si="14"/>
        <v>746201</v>
      </c>
      <c r="R92" s="18">
        <f>R65-R91</f>
        <v>868990</v>
      </c>
      <c r="S92" s="18">
        <f>S65-S91</f>
        <v>-717084.6800000002</v>
      </c>
      <c r="T92" s="18">
        <f>T65-T91</f>
        <v>1072012</v>
      </c>
      <c r="U92" s="18">
        <f>U65-U91</f>
        <v>905856.5800000001</v>
      </c>
      <c r="V92" s="18">
        <f>V65-V91</f>
        <v>379550.63240000047</v>
      </c>
      <c r="W92" s="18">
        <f t="shared" si="14"/>
        <v>-907670.5671839998</v>
      </c>
      <c r="X92" s="30"/>
      <c r="Y92" s="24"/>
    </row>
    <row r="93" spans="2:24" ht="15.75">
      <c r="B93" s="1">
        <f t="shared" si="12"/>
        <v>85</v>
      </c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30"/>
    </row>
    <row r="94" spans="2:25" s="3" customFormat="1" ht="15.75">
      <c r="B94" s="1">
        <f t="shared" si="12"/>
        <v>86</v>
      </c>
      <c r="C94" s="3" t="s">
        <v>196</v>
      </c>
      <c r="D94" s="10"/>
      <c r="E94" s="10"/>
      <c r="F94" s="10"/>
      <c r="G94" s="1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52"/>
      <c r="Y94" s="24"/>
    </row>
    <row r="95" spans="2:25" ht="15.75">
      <c r="B95" s="1">
        <f t="shared" si="12"/>
        <v>87</v>
      </c>
      <c r="C95" s="1" t="s">
        <v>262</v>
      </c>
      <c r="D95" s="11"/>
      <c r="E95" s="11"/>
      <c r="F95" s="11"/>
      <c r="G95" s="11"/>
      <c r="H95" s="11"/>
      <c r="I95" s="11"/>
      <c r="J95" s="11">
        <v>3238</v>
      </c>
      <c r="K95" s="11">
        <v>9459</v>
      </c>
      <c r="L95" s="11">
        <v>14391</v>
      </c>
      <c r="M95" s="11">
        <v>5700</v>
      </c>
      <c r="N95" s="11">
        <v>3085</v>
      </c>
      <c r="O95" s="11">
        <v>3089</v>
      </c>
      <c r="P95" s="11">
        <v>3086</v>
      </c>
      <c r="Q95" s="11">
        <v>3084</v>
      </c>
      <c r="R95" s="11">
        <v>3090</v>
      </c>
      <c r="S95" s="11">
        <v>3131</v>
      </c>
      <c r="T95" s="11">
        <v>3111</v>
      </c>
      <c r="U95" s="11">
        <v>3100</v>
      </c>
      <c r="V95" s="11">
        <v>3100</v>
      </c>
      <c r="W95" s="11">
        <v>3100</v>
      </c>
      <c r="X95" s="49" t="s">
        <v>133</v>
      </c>
      <c r="Y95" s="34" t="s">
        <v>259</v>
      </c>
    </row>
    <row r="96" spans="2:25" ht="15.75">
      <c r="B96" s="1">
        <f t="shared" si="12"/>
        <v>88</v>
      </c>
      <c r="C96" s="1" t="s">
        <v>163</v>
      </c>
      <c r="D96" s="11">
        <v>0</v>
      </c>
      <c r="E96" s="11"/>
      <c r="F96" s="11">
        <v>16025</v>
      </c>
      <c r="G96" s="11">
        <v>52295</v>
      </c>
      <c r="H96" s="11">
        <v>40467</v>
      </c>
      <c r="I96" s="11">
        <v>10130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1515</v>
      </c>
      <c r="P96" s="11">
        <v>1513</v>
      </c>
      <c r="Q96" s="11">
        <v>1515</v>
      </c>
      <c r="R96" s="11">
        <v>2586</v>
      </c>
      <c r="S96" s="11">
        <v>2815</v>
      </c>
      <c r="T96" s="11">
        <v>508</v>
      </c>
      <c r="U96" s="11">
        <v>100</v>
      </c>
      <c r="V96" s="11">
        <v>550</v>
      </c>
      <c r="W96" s="11">
        <v>100</v>
      </c>
      <c r="X96" s="49" t="s">
        <v>133</v>
      </c>
      <c r="Y96" s="24" t="s">
        <v>258</v>
      </c>
    </row>
    <row r="97" spans="2:25" ht="15.75">
      <c r="B97" s="1">
        <f t="shared" si="12"/>
        <v>89</v>
      </c>
      <c r="C97" s="1" t="s">
        <v>260</v>
      </c>
      <c r="D97" s="11">
        <v>0</v>
      </c>
      <c r="E97" s="11"/>
      <c r="F97" s="11"/>
      <c r="G97" s="11">
        <v>3850</v>
      </c>
      <c r="H97" s="11">
        <v>22827</v>
      </c>
      <c r="I97" s="11">
        <v>18539</v>
      </c>
      <c r="J97" s="11">
        <v>0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200</v>
      </c>
      <c r="S97" s="11">
        <v>0</v>
      </c>
      <c r="T97" s="11">
        <v>0</v>
      </c>
      <c r="U97" s="11">
        <v>0</v>
      </c>
      <c r="V97" s="11">
        <v>0</v>
      </c>
      <c r="W97" s="11">
        <f>21*12</f>
        <v>252</v>
      </c>
      <c r="X97" s="49" t="s">
        <v>133</v>
      </c>
      <c r="Y97" s="34" t="s">
        <v>261</v>
      </c>
    </row>
    <row r="98" spans="2:25" ht="15.75">
      <c r="B98" s="1">
        <f t="shared" si="12"/>
        <v>90</v>
      </c>
      <c r="C98" s="1" t="s">
        <v>132</v>
      </c>
      <c r="D98" s="11">
        <v>0</v>
      </c>
      <c r="E98" s="11"/>
      <c r="F98" s="11"/>
      <c r="G98" s="11">
        <v>3850</v>
      </c>
      <c r="H98" s="11">
        <v>22827</v>
      </c>
      <c r="I98" s="11">
        <v>18539</v>
      </c>
      <c r="J98" s="11">
        <v>3470</v>
      </c>
      <c r="K98" s="11">
        <v>3631</v>
      </c>
      <c r="L98" s="11">
        <v>4014</v>
      </c>
      <c r="M98" s="11">
        <v>2190</v>
      </c>
      <c r="N98" s="11">
        <f>6039+532</f>
        <v>6571</v>
      </c>
      <c r="O98" s="11">
        <f>2329+349</f>
        <v>2678</v>
      </c>
      <c r="P98" s="11">
        <f>180+199</f>
        <v>379</v>
      </c>
      <c r="Q98" s="11">
        <f>477+113</f>
        <v>590</v>
      </c>
      <c r="R98" s="11">
        <v>200</v>
      </c>
      <c r="S98" s="11">
        <v>296</v>
      </c>
      <c r="T98" s="11">
        <v>285</v>
      </c>
      <c r="U98" s="11">
        <v>200</v>
      </c>
      <c r="V98" s="11">
        <f>25*12</f>
        <v>300</v>
      </c>
      <c r="W98" s="11">
        <v>0</v>
      </c>
      <c r="X98" s="49" t="s">
        <v>133</v>
      </c>
      <c r="Y98" s="34" t="s">
        <v>88</v>
      </c>
    </row>
    <row r="99" spans="2:25" ht="15.75">
      <c r="B99" s="1">
        <f t="shared" si="12"/>
        <v>91</v>
      </c>
      <c r="C99" s="1" t="s">
        <v>193</v>
      </c>
      <c r="D99" s="11">
        <v>866</v>
      </c>
      <c r="E99" s="11"/>
      <c r="F99" s="11"/>
      <c r="G99" s="11"/>
      <c r="H99" s="11"/>
      <c r="I99" s="11"/>
      <c r="J99" s="11">
        <v>0</v>
      </c>
      <c r="K99" s="11">
        <v>0</v>
      </c>
      <c r="L99" s="11">
        <v>0</v>
      </c>
      <c r="M99" s="11">
        <v>0</v>
      </c>
      <c r="N99" s="11">
        <v>0</v>
      </c>
      <c r="O99" s="11">
        <v>131354</v>
      </c>
      <c r="P99" s="11">
        <v>200000</v>
      </c>
      <c r="Q99" s="11">
        <f>396992-152342</f>
        <v>244650</v>
      </c>
      <c r="R99" s="11">
        <v>6879</v>
      </c>
      <c r="S99" s="11">
        <v>20553</v>
      </c>
      <c r="T99" s="11">
        <v>5686</v>
      </c>
      <c r="U99" s="11">
        <v>0</v>
      </c>
      <c r="V99" s="11">
        <v>200000</v>
      </c>
      <c r="W99" s="11">
        <v>0</v>
      </c>
      <c r="X99" s="30" t="s">
        <v>133</v>
      </c>
      <c r="Y99" s="24" t="s">
        <v>172</v>
      </c>
    </row>
    <row r="100" spans="2:25" ht="15.75">
      <c r="B100" s="1">
        <f t="shared" si="12"/>
        <v>92</v>
      </c>
      <c r="C100" s="1" t="s">
        <v>37</v>
      </c>
      <c r="D100" s="11">
        <v>208683</v>
      </c>
      <c r="E100" s="11">
        <v>51542</v>
      </c>
      <c r="F100" s="11">
        <v>73596</v>
      </c>
      <c r="G100" s="11">
        <v>249968</v>
      </c>
      <c r="H100" s="11">
        <v>258959</v>
      </c>
      <c r="I100" s="11">
        <v>256742</v>
      </c>
      <c r="J100" s="11">
        <v>232872</v>
      </c>
      <c r="K100" s="11">
        <v>224883</v>
      </c>
      <c r="L100" s="11">
        <v>221319</v>
      </c>
      <c r="M100" s="11">
        <v>233340</v>
      </c>
      <c r="N100" s="11">
        <v>255693</v>
      </c>
      <c r="O100" s="11">
        <v>269055</v>
      </c>
      <c r="P100" s="11">
        <v>279193</v>
      </c>
      <c r="Q100" s="11">
        <v>293976</v>
      </c>
      <c r="R100" s="11">
        <v>315386</v>
      </c>
      <c r="S100" s="11">
        <v>325922</v>
      </c>
      <c r="T100" s="11">
        <v>348780</v>
      </c>
      <c r="U100" s="11">
        <v>300000</v>
      </c>
      <c r="V100" s="11">
        <v>300000</v>
      </c>
      <c r="W100" s="11">
        <v>300000</v>
      </c>
      <c r="X100" s="30" t="s">
        <v>133</v>
      </c>
      <c r="Y100" s="24" t="s">
        <v>88</v>
      </c>
    </row>
    <row r="101" spans="2:25" s="3" customFormat="1" ht="15.75">
      <c r="B101" s="1">
        <f>B100+1</f>
        <v>93</v>
      </c>
      <c r="C101" s="3" t="s">
        <v>38</v>
      </c>
      <c r="D101" s="21">
        <f aca="true" t="shared" si="15" ref="D101:W101">SUM(D95:D100)</f>
        <v>209549</v>
      </c>
      <c r="E101" s="21">
        <f t="shared" si="15"/>
        <v>51542</v>
      </c>
      <c r="F101" s="16">
        <f t="shared" si="15"/>
        <v>89621</v>
      </c>
      <c r="G101" s="16">
        <f t="shared" si="15"/>
        <v>309963</v>
      </c>
      <c r="H101" s="16">
        <f t="shared" si="15"/>
        <v>345080</v>
      </c>
      <c r="I101" s="16">
        <f t="shared" si="15"/>
        <v>303950</v>
      </c>
      <c r="J101" s="16">
        <f t="shared" si="15"/>
        <v>239580</v>
      </c>
      <c r="K101" s="16">
        <f t="shared" si="15"/>
        <v>237973</v>
      </c>
      <c r="L101" s="16">
        <f t="shared" si="15"/>
        <v>239724</v>
      </c>
      <c r="M101" s="16">
        <f t="shared" si="15"/>
        <v>241230</v>
      </c>
      <c r="N101" s="16">
        <f t="shared" si="15"/>
        <v>265349</v>
      </c>
      <c r="O101" s="16">
        <f t="shared" si="15"/>
        <v>407691</v>
      </c>
      <c r="P101" s="16">
        <f t="shared" si="15"/>
        <v>484171</v>
      </c>
      <c r="Q101" s="16">
        <f t="shared" si="15"/>
        <v>543815</v>
      </c>
      <c r="R101" s="16">
        <f t="shared" si="15"/>
        <v>328341</v>
      </c>
      <c r="S101" s="16">
        <f t="shared" si="15"/>
        <v>352717</v>
      </c>
      <c r="T101" s="16">
        <f>SUM(T95:T100)</f>
        <v>358370</v>
      </c>
      <c r="U101" s="16">
        <f t="shared" si="15"/>
        <v>303400</v>
      </c>
      <c r="V101" s="16">
        <f>SUM(V95:V100)</f>
        <v>503950</v>
      </c>
      <c r="W101" s="16">
        <f t="shared" si="15"/>
        <v>303452</v>
      </c>
      <c r="X101" s="30"/>
      <c r="Y101" s="27"/>
    </row>
    <row r="102" spans="2:24" ht="15.75">
      <c r="B102" s="1">
        <f>B101+1</f>
        <v>94</v>
      </c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30"/>
    </row>
    <row r="103" spans="2:25" s="3" customFormat="1" ht="15.75">
      <c r="B103" s="1">
        <f aca="true" t="shared" si="16" ref="B103:B113">B102+1</f>
        <v>95</v>
      </c>
      <c r="C103" s="3" t="s">
        <v>197</v>
      </c>
      <c r="D103" s="11"/>
      <c r="E103" s="11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30"/>
      <c r="Y103" s="24"/>
    </row>
    <row r="104" spans="2:26" ht="15.75">
      <c r="B104" s="1">
        <f t="shared" si="16"/>
        <v>96</v>
      </c>
      <c r="C104" s="1" t="s">
        <v>176</v>
      </c>
      <c r="D104" s="11">
        <f>85883+45000</f>
        <v>130883</v>
      </c>
      <c r="E104" s="11">
        <f>156035+1102</f>
        <v>157137</v>
      </c>
      <c r="F104" s="11">
        <v>141594</v>
      </c>
      <c r="G104" s="11">
        <f>-3528+153067</f>
        <v>149539</v>
      </c>
      <c r="H104" s="11">
        <v>165646</v>
      </c>
      <c r="I104" s="11">
        <v>163144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126402</v>
      </c>
      <c r="P104" s="11">
        <v>116185</v>
      </c>
      <c r="Q104" s="11">
        <v>105686</v>
      </c>
      <c r="R104" s="11">
        <v>99407</v>
      </c>
      <c r="S104" s="11">
        <v>83776</v>
      </c>
      <c r="T104" s="11">
        <v>72449</v>
      </c>
      <c r="U104" s="11">
        <v>66585</v>
      </c>
      <c r="V104" s="11">
        <v>66585</v>
      </c>
      <c r="W104" s="11">
        <v>57303</v>
      </c>
      <c r="X104" s="49" t="s">
        <v>133</v>
      </c>
      <c r="Y104" s="24" t="s">
        <v>164</v>
      </c>
      <c r="Z104" s="1">
        <f>2375000*0.003</f>
        <v>7125</v>
      </c>
    </row>
    <row r="105" spans="2:25" ht="15.75">
      <c r="B105" s="1">
        <f t="shared" si="16"/>
        <v>97</v>
      </c>
      <c r="C105" s="1" t="s">
        <v>194</v>
      </c>
      <c r="D105" s="11">
        <v>64956</v>
      </c>
      <c r="E105" s="11">
        <f>52075</f>
        <v>52075</v>
      </c>
      <c r="F105" s="11">
        <v>35779</v>
      </c>
      <c r="G105" s="11">
        <v>54298</v>
      </c>
      <c r="H105" s="11">
        <v>42623</v>
      </c>
      <c r="I105" s="11">
        <v>31399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200000</v>
      </c>
      <c r="Q105" s="11">
        <v>214217</v>
      </c>
      <c r="R105" s="11">
        <v>5781</v>
      </c>
      <c r="S105" s="11">
        <v>20553</v>
      </c>
      <c r="T105" s="11">
        <v>5686</v>
      </c>
      <c r="U105" s="11">
        <v>0</v>
      </c>
      <c r="V105" s="11">
        <v>200000</v>
      </c>
      <c r="W105" s="11">
        <v>0</v>
      </c>
      <c r="X105" s="30" t="s">
        <v>144</v>
      </c>
      <c r="Y105" s="24" t="s">
        <v>212</v>
      </c>
    </row>
    <row r="106" spans="2:26" ht="15.75">
      <c r="B106" s="1">
        <f t="shared" si="16"/>
        <v>98</v>
      </c>
      <c r="C106" s="1" t="s">
        <v>68</v>
      </c>
      <c r="D106" s="11">
        <v>3189</v>
      </c>
      <c r="E106" s="11">
        <v>3130</v>
      </c>
      <c r="F106" s="11">
        <v>2507</v>
      </c>
      <c r="G106" s="11">
        <v>3000</v>
      </c>
      <c r="H106" s="11">
        <v>538</v>
      </c>
      <c r="I106" s="11">
        <v>1739</v>
      </c>
      <c r="J106" s="11">
        <v>800</v>
      </c>
      <c r="K106" s="11">
        <v>0</v>
      </c>
      <c r="L106" s="11">
        <v>800</v>
      </c>
      <c r="M106" s="11">
        <v>800</v>
      </c>
      <c r="N106" s="11">
        <v>800</v>
      </c>
      <c r="O106" s="11">
        <v>800</v>
      </c>
      <c r="P106" s="11">
        <v>800</v>
      </c>
      <c r="Q106" s="11">
        <v>800</v>
      </c>
      <c r="R106" s="11">
        <v>800</v>
      </c>
      <c r="S106" s="11">
        <v>800</v>
      </c>
      <c r="T106" s="11">
        <v>800</v>
      </c>
      <c r="U106" s="11">
        <v>800</v>
      </c>
      <c r="V106" s="11">
        <v>800</v>
      </c>
      <c r="W106" s="11">
        <v>800</v>
      </c>
      <c r="X106" s="49" t="s">
        <v>133</v>
      </c>
      <c r="Y106" s="24" t="s">
        <v>56</v>
      </c>
      <c r="Z106" s="1" t="e">
        <f>SUM(#REF!)</f>
        <v>#REF!</v>
      </c>
    </row>
    <row r="107" spans="2:25" s="3" customFormat="1" ht="15.75">
      <c r="B107" s="1">
        <f t="shared" si="16"/>
        <v>99</v>
      </c>
      <c r="C107" s="3" t="s">
        <v>41</v>
      </c>
      <c r="D107" s="16">
        <f aca="true" t="shared" si="17" ref="D107:I107">SUM(D105:D106)</f>
        <v>68145</v>
      </c>
      <c r="E107" s="16">
        <f t="shared" si="17"/>
        <v>55205</v>
      </c>
      <c r="F107" s="16">
        <f t="shared" si="17"/>
        <v>38286</v>
      </c>
      <c r="G107" s="16">
        <f t="shared" si="17"/>
        <v>57298</v>
      </c>
      <c r="H107" s="16">
        <f t="shared" si="17"/>
        <v>43161</v>
      </c>
      <c r="I107" s="16">
        <f t="shared" si="17"/>
        <v>33138</v>
      </c>
      <c r="J107" s="16">
        <f aca="true" t="shared" si="18" ref="J107:W107">SUM(J104:J106)</f>
        <v>800</v>
      </c>
      <c r="K107" s="16">
        <f t="shared" si="18"/>
        <v>0</v>
      </c>
      <c r="L107" s="16">
        <f t="shared" si="18"/>
        <v>800</v>
      </c>
      <c r="M107" s="16">
        <f t="shared" si="18"/>
        <v>800</v>
      </c>
      <c r="N107" s="16">
        <f t="shared" si="18"/>
        <v>800</v>
      </c>
      <c r="O107" s="16">
        <f t="shared" si="18"/>
        <v>127202</v>
      </c>
      <c r="P107" s="16">
        <f t="shared" si="18"/>
        <v>316985</v>
      </c>
      <c r="Q107" s="16">
        <f t="shared" si="18"/>
        <v>320703</v>
      </c>
      <c r="R107" s="16">
        <f t="shared" si="18"/>
        <v>105988</v>
      </c>
      <c r="S107" s="16">
        <f t="shared" si="18"/>
        <v>105129</v>
      </c>
      <c r="T107" s="16">
        <f>SUM(T104:T106)</f>
        <v>78935</v>
      </c>
      <c r="U107" s="16">
        <f t="shared" si="18"/>
        <v>67385</v>
      </c>
      <c r="V107" s="16">
        <f>SUM(V104:V106)</f>
        <v>267385</v>
      </c>
      <c r="W107" s="16">
        <f t="shared" si="18"/>
        <v>58103</v>
      </c>
      <c r="X107" s="30"/>
      <c r="Y107" s="24"/>
    </row>
    <row r="108" spans="2:25" s="3" customFormat="1" ht="15.75">
      <c r="B108" s="1">
        <f t="shared" si="16"/>
        <v>100</v>
      </c>
      <c r="C108" s="1"/>
      <c r="D108" s="11"/>
      <c r="E108" s="11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30"/>
      <c r="Y108" s="24"/>
    </row>
    <row r="109" spans="2:25" s="3" customFormat="1" ht="16.5" thickBot="1">
      <c r="B109" s="1">
        <f t="shared" si="16"/>
        <v>101</v>
      </c>
      <c r="C109" s="3" t="s">
        <v>111</v>
      </c>
      <c r="D109" s="22">
        <f aca="true" t="shared" si="19" ref="D109:W109">D92+D101-D107</f>
        <v>-407072</v>
      </c>
      <c r="E109" s="22">
        <f t="shared" si="19"/>
        <v>-139247</v>
      </c>
      <c r="F109" s="22">
        <f t="shared" si="19"/>
        <v>243204</v>
      </c>
      <c r="G109" s="22">
        <f t="shared" si="19"/>
        <v>108981</v>
      </c>
      <c r="H109" s="22">
        <f t="shared" si="19"/>
        <v>872339</v>
      </c>
      <c r="I109" s="22">
        <f t="shared" si="19"/>
        <v>880019</v>
      </c>
      <c r="J109" s="22">
        <f t="shared" si="19"/>
        <v>826244.8999999999</v>
      </c>
      <c r="K109" s="22">
        <f t="shared" si="19"/>
        <v>754753</v>
      </c>
      <c r="L109" s="22">
        <f t="shared" si="19"/>
        <v>835554</v>
      </c>
      <c r="M109" s="22">
        <f t="shared" si="19"/>
        <v>-439989</v>
      </c>
      <c r="N109" s="22">
        <f t="shared" si="19"/>
        <v>458863</v>
      </c>
      <c r="O109" s="22">
        <f t="shared" si="19"/>
        <v>729061</v>
      </c>
      <c r="P109" s="22">
        <f t="shared" si="19"/>
        <v>747939</v>
      </c>
      <c r="Q109" s="22">
        <f t="shared" si="19"/>
        <v>969313</v>
      </c>
      <c r="R109" s="22">
        <f t="shared" si="19"/>
        <v>1091343</v>
      </c>
      <c r="S109" s="22">
        <f t="shared" si="19"/>
        <v>-469496.68000000017</v>
      </c>
      <c r="T109" s="22">
        <f>T92+T101-T107</f>
        <v>1351447</v>
      </c>
      <c r="U109" s="22">
        <f t="shared" si="19"/>
        <v>1141871.58</v>
      </c>
      <c r="V109" s="22">
        <f>V92+V101-V107</f>
        <v>616115.6324000005</v>
      </c>
      <c r="W109" s="22">
        <f t="shared" si="19"/>
        <v>-662321.5671839998</v>
      </c>
      <c r="X109" s="30"/>
      <c r="Y109" s="24"/>
    </row>
    <row r="110" spans="2:25" s="3" customFormat="1" ht="16.5" thickTop="1">
      <c r="B110" s="1">
        <f t="shared" si="16"/>
        <v>102</v>
      </c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30"/>
      <c r="Y110" s="24"/>
    </row>
    <row r="111" spans="2:25" s="3" customFormat="1" ht="15.75">
      <c r="B111" s="1">
        <f t="shared" si="16"/>
        <v>103</v>
      </c>
      <c r="C111" s="3" t="s">
        <v>209</v>
      </c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30"/>
      <c r="Y111" s="24"/>
    </row>
    <row r="112" spans="2:25" s="3" customFormat="1" ht="15.75">
      <c r="B112" s="1">
        <f t="shared" si="16"/>
        <v>104</v>
      </c>
      <c r="C112" s="1" t="s">
        <v>185</v>
      </c>
      <c r="D112" s="11"/>
      <c r="E112" s="11"/>
      <c r="F112" s="11"/>
      <c r="G112" s="11"/>
      <c r="H112" s="11">
        <v>37257</v>
      </c>
      <c r="I112" s="11">
        <v>35000</v>
      </c>
      <c r="J112" s="11"/>
      <c r="K112" s="11">
        <v>4830</v>
      </c>
      <c r="L112" s="11"/>
      <c r="M112" s="11">
        <v>0</v>
      </c>
      <c r="N112" s="11">
        <v>0</v>
      </c>
      <c r="O112" s="11">
        <v>0</v>
      </c>
      <c r="P112" s="11">
        <v>0</v>
      </c>
      <c r="Q112" s="11">
        <v>2700</v>
      </c>
      <c r="R112" s="11">
        <v>0</v>
      </c>
      <c r="S112" s="11">
        <v>0</v>
      </c>
      <c r="T112" s="11">
        <v>12101</v>
      </c>
      <c r="U112" s="11">
        <v>0</v>
      </c>
      <c r="V112" s="11">
        <v>100000</v>
      </c>
      <c r="W112" s="11">
        <v>100000</v>
      </c>
      <c r="X112" s="30"/>
      <c r="Y112" s="24" t="s">
        <v>186</v>
      </c>
    </row>
    <row r="113" spans="2:24" ht="15.75">
      <c r="B113" s="1">
        <f t="shared" si="16"/>
        <v>105</v>
      </c>
      <c r="C113" s="1" t="s">
        <v>42</v>
      </c>
      <c r="D113" s="11"/>
      <c r="E113" s="11"/>
      <c r="F113" s="11"/>
      <c r="G113" s="11"/>
      <c r="H113" s="11"/>
      <c r="I113" s="11"/>
      <c r="J113" s="11"/>
      <c r="K113" s="11">
        <v>4243</v>
      </c>
      <c r="L113" s="11"/>
      <c r="M113" s="11"/>
      <c r="N113" s="11"/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/>
      <c r="U113" s="11">
        <v>19506</v>
      </c>
      <c r="V113" s="11">
        <v>50000</v>
      </c>
      <c r="W113" s="11">
        <v>0</v>
      </c>
      <c r="X113" s="30" t="s">
        <v>141</v>
      </c>
    </row>
    <row r="114" spans="2:25" ht="15.75">
      <c r="B114" s="1">
        <f>B113+1</f>
        <v>106</v>
      </c>
      <c r="C114" s="1" t="s">
        <v>170</v>
      </c>
      <c r="D114" s="11"/>
      <c r="E114" s="11"/>
      <c r="F114" s="11"/>
      <c r="G114" s="11"/>
      <c r="H114" s="11"/>
      <c r="I114" s="11">
        <v>325000</v>
      </c>
      <c r="J114" s="11">
        <v>413753</v>
      </c>
      <c r="K114" s="11"/>
      <c r="L114" s="11"/>
      <c r="M114" s="11">
        <v>571604</v>
      </c>
      <c r="N114" s="11"/>
      <c r="O114" s="11">
        <v>0</v>
      </c>
      <c r="P114" s="11">
        <v>0</v>
      </c>
      <c r="Q114" s="11">
        <v>6593</v>
      </c>
      <c r="R114" s="11">
        <v>0</v>
      </c>
      <c r="S114" s="11">
        <v>0</v>
      </c>
      <c r="T114" s="11"/>
      <c r="U114" s="11">
        <v>0</v>
      </c>
      <c r="V114" s="11">
        <v>100000</v>
      </c>
      <c r="W114" s="11">
        <v>350000</v>
      </c>
      <c r="X114" s="30" t="s">
        <v>141</v>
      </c>
      <c r="Y114" s="27" t="s">
        <v>265</v>
      </c>
    </row>
    <row r="115" spans="2:25" ht="15.75">
      <c r="B115" s="1">
        <f aca="true" t="shared" si="20" ref="B115:B155">B114+1</f>
        <v>107</v>
      </c>
      <c r="C115" s="1" t="s">
        <v>57</v>
      </c>
      <c r="D115" s="11"/>
      <c r="E115" s="11"/>
      <c r="F115" s="11">
        <v>27151</v>
      </c>
      <c r="G115" s="11"/>
      <c r="H115" s="11"/>
      <c r="I115" s="11">
        <f>8800+35592</f>
        <v>44392</v>
      </c>
      <c r="J115" s="11"/>
      <c r="K115" s="11">
        <f>33984+3900</f>
        <v>37884</v>
      </c>
      <c r="L115" s="11"/>
      <c r="M115" s="11">
        <f>69155+7420</f>
        <v>76575</v>
      </c>
      <c r="N115" s="11">
        <f>30887+20681</f>
        <v>51568</v>
      </c>
      <c r="O115" s="11">
        <v>9545</v>
      </c>
      <c r="P115" s="11"/>
      <c r="Q115" s="11">
        <f>4950+29058</f>
        <v>34008</v>
      </c>
      <c r="R115" s="11">
        <f>12896+82650+9000</f>
        <v>104546</v>
      </c>
      <c r="S115" s="11">
        <v>0</v>
      </c>
      <c r="T115" s="11">
        <v>126562</v>
      </c>
      <c r="U115" s="11">
        <v>0</v>
      </c>
      <c r="V115" s="11">
        <v>100000</v>
      </c>
      <c r="W115" s="11">
        <v>150000</v>
      </c>
      <c r="X115" s="30" t="s">
        <v>141</v>
      </c>
      <c r="Y115" s="27" t="s">
        <v>109</v>
      </c>
    </row>
    <row r="116" spans="2:25" ht="15.75">
      <c r="B116" s="1">
        <f t="shared" si="20"/>
        <v>108</v>
      </c>
      <c r="C116" s="1" t="s">
        <v>155</v>
      </c>
      <c r="D116" s="11"/>
      <c r="E116" s="11"/>
      <c r="F116" s="11">
        <v>27151</v>
      </c>
      <c r="G116" s="11"/>
      <c r="H116" s="11"/>
      <c r="I116" s="11">
        <v>0</v>
      </c>
      <c r="J116" s="11"/>
      <c r="K116" s="11">
        <v>0</v>
      </c>
      <c r="L116" s="11"/>
      <c r="M116" s="11">
        <v>0</v>
      </c>
      <c r="N116" s="11"/>
      <c r="O116" s="11">
        <v>253943</v>
      </c>
      <c r="P116" s="11"/>
      <c r="Q116" s="11"/>
      <c r="R116" s="11"/>
      <c r="S116" s="11"/>
      <c r="T116" s="11"/>
      <c r="U116" s="11">
        <v>0</v>
      </c>
      <c r="V116" s="11">
        <v>200000</v>
      </c>
      <c r="W116" s="11">
        <v>1500000</v>
      </c>
      <c r="X116" s="30" t="s">
        <v>141</v>
      </c>
      <c r="Y116" s="27" t="s">
        <v>277</v>
      </c>
    </row>
    <row r="117" spans="2:25" ht="15.75">
      <c r="B117" s="1">
        <f t="shared" si="20"/>
        <v>109</v>
      </c>
      <c r="C117" s="1" t="s">
        <v>43</v>
      </c>
      <c r="D117" s="11"/>
      <c r="E117" s="11"/>
      <c r="F117" s="11"/>
      <c r="G117" s="11"/>
      <c r="H117" s="11"/>
      <c r="I117" s="11"/>
      <c r="J117" s="11">
        <v>3275</v>
      </c>
      <c r="K117" s="11"/>
      <c r="L117" s="11"/>
      <c r="M117" s="11">
        <v>0</v>
      </c>
      <c r="N117" s="11"/>
      <c r="O117" s="11">
        <v>0</v>
      </c>
      <c r="P117" s="11"/>
      <c r="Q117" s="11">
        <v>1157</v>
      </c>
      <c r="R117" s="11"/>
      <c r="S117" s="11">
        <v>9763</v>
      </c>
      <c r="T117" s="11"/>
      <c r="U117" s="11">
        <v>0</v>
      </c>
      <c r="V117" s="11">
        <v>25000</v>
      </c>
      <c r="W117" s="11">
        <v>5000</v>
      </c>
      <c r="X117" s="30" t="s">
        <v>141</v>
      </c>
      <c r="Y117" s="24" t="s">
        <v>187</v>
      </c>
    </row>
    <row r="118" spans="2:25" ht="15.75">
      <c r="B118" s="1">
        <f t="shared" si="20"/>
        <v>110</v>
      </c>
      <c r="C118" s="1" t="s">
        <v>179</v>
      </c>
      <c r="D118" s="11"/>
      <c r="E118" s="11"/>
      <c r="F118" s="11"/>
      <c r="G118" s="11"/>
      <c r="H118" s="11"/>
      <c r="I118" s="11"/>
      <c r="J118" s="11"/>
      <c r="K118" s="11"/>
      <c r="L118" s="11"/>
      <c r="M118" s="11">
        <v>73860</v>
      </c>
      <c r="N118" s="11"/>
      <c r="O118" s="11">
        <v>46913</v>
      </c>
      <c r="P118" s="11">
        <v>399033</v>
      </c>
      <c r="Q118" s="11">
        <v>1584972</v>
      </c>
      <c r="R118" s="11">
        <v>2204319</v>
      </c>
      <c r="S118" s="11">
        <v>306397</v>
      </c>
      <c r="T118" s="11"/>
      <c r="U118" s="11">
        <f>1233+1595</f>
        <v>2828</v>
      </c>
      <c r="V118" s="11">
        <v>1000000</v>
      </c>
      <c r="W118" s="11">
        <v>3000000</v>
      </c>
      <c r="X118" s="30" t="s">
        <v>133</v>
      </c>
      <c r="Y118" s="28" t="s">
        <v>201</v>
      </c>
    </row>
    <row r="119" spans="2:25" ht="15.75">
      <c r="B119" s="1">
        <f t="shared" si="20"/>
        <v>111</v>
      </c>
      <c r="C119" s="1" t="s">
        <v>149</v>
      </c>
      <c r="D119" s="11"/>
      <c r="E119" s="11"/>
      <c r="F119" s="11"/>
      <c r="G119" s="11"/>
      <c r="H119" s="11"/>
      <c r="I119" s="11"/>
      <c r="J119" s="11"/>
      <c r="K119" s="11" t="s">
        <v>88</v>
      </c>
      <c r="L119" s="11"/>
      <c r="M119" s="11">
        <v>0</v>
      </c>
      <c r="N119" s="11"/>
      <c r="O119" s="11">
        <v>0</v>
      </c>
      <c r="P119" s="11"/>
      <c r="Q119" s="11"/>
      <c r="R119" s="11"/>
      <c r="S119" s="11"/>
      <c r="T119" s="11"/>
      <c r="U119" s="11">
        <v>0</v>
      </c>
      <c r="V119" s="11">
        <v>400000</v>
      </c>
      <c r="W119" s="11">
        <v>400000</v>
      </c>
      <c r="X119" s="30" t="s">
        <v>133</v>
      </c>
      <c r="Y119" s="24" t="s">
        <v>150</v>
      </c>
    </row>
    <row r="120" spans="2:25" ht="15.75">
      <c r="B120" s="1">
        <f t="shared" si="20"/>
        <v>112</v>
      </c>
      <c r="C120" s="1" t="s">
        <v>160</v>
      </c>
      <c r="D120" s="11"/>
      <c r="E120" s="11"/>
      <c r="F120" s="11"/>
      <c r="G120" s="11"/>
      <c r="H120" s="11"/>
      <c r="I120" s="11"/>
      <c r="J120" s="11"/>
      <c r="K120" s="11" t="s">
        <v>88</v>
      </c>
      <c r="L120" s="11"/>
      <c r="M120" s="11">
        <v>0</v>
      </c>
      <c r="N120" s="11">
        <v>0</v>
      </c>
      <c r="O120" s="11">
        <v>9070</v>
      </c>
      <c r="P120" s="11">
        <v>12186</v>
      </c>
      <c r="Q120" s="11"/>
      <c r="R120" s="11"/>
      <c r="S120" s="11"/>
      <c r="T120" s="11"/>
      <c r="U120" s="11"/>
      <c r="V120" s="11"/>
      <c r="W120" s="11"/>
      <c r="X120" s="30" t="s">
        <v>133</v>
      </c>
      <c r="Y120" s="24" t="s">
        <v>88</v>
      </c>
    </row>
    <row r="121" spans="2:25" ht="15.75">
      <c r="B121" s="1">
        <f t="shared" si="20"/>
        <v>113</v>
      </c>
      <c r="C121" s="1" t="s">
        <v>216</v>
      </c>
      <c r="D121" s="11"/>
      <c r="E121" s="11"/>
      <c r="F121" s="11"/>
      <c r="G121" s="11"/>
      <c r="H121" s="11"/>
      <c r="I121" s="11"/>
      <c r="J121" s="11"/>
      <c r="K121" s="11" t="s">
        <v>88</v>
      </c>
      <c r="L121" s="11"/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/>
      <c r="S121" s="11"/>
      <c r="T121" s="11"/>
      <c r="U121" s="11">
        <f>72973+3043+702</f>
        <v>76718</v>
      </c>
      <c r="V121" s="11">
        <v>100000</v>
      </c>
      <c r="W121" s="11">
        <v>0</v>
      </c>
      <c r="X121" s="30" t="s">
        <v>133</v>
      </c>
      <c r="Y121" s="24" t="s">
        <v>88</v>
      </c>
    </row>
    <row r="122" spans="2:25" ht="15.75">
      <c r="B122" s="1">
        <f t="shared" si="20"/>
        <v>114</v>
      </c>
      <c r="C122" s="1" t="s">
        <v>264</v>
      </c>
      <c r="D122" s="11"/>
      <c r="E122" s="11"/>
      <c r="F122" s="11"/>
      <c r="G122" s="11"/>
      <c r="H122" s="11"/>
      <c r="I122" s="11"/>
      <c r="J122" s="11"/>
      <c r="K122" s="11" t="s">
        <v>88</v>
      </c>
      <c r="L122" s="11"/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/>
      <c r="S122" s="11"/>
      <c r="T122" s="11"/>
      <c r="U122" s="11">
        <v>0</v>
      </c>
      <c r="V122" s="11">
        <v>0</v>
      </c>
      <c r="W122" s="11">
        <v>100000</v>
      </c>
      <c r="X122" s="30" t="s">
        <v>133</v>
      </c>
      <c r="Y122" s="24" t="s">
        <v>88</v>
      </c>
    </row>
    <row r="123" spans="2:24" ht="15.75">
      <c r="B123" s="1">
        <f t="shared" si="20"/>
        <v>115</v>
      </c>
      <c r="C123" s="1" t="s">
        <v>156</v>
      </c>
      <c r="D123" s="11"/>
      <c r="E123" s="11"/>
      <c r="F123" s="11"/>
      <c r="G123" s="11"/>
      <c r="H123" s="11">
        <v>28335</v>
      </c>
      <c r="I123" s="11">
        <v>15000</v>
      </c>
      <c r="J123" s="11">
        <f>13767+7659</f>
        <v>21426</v>
      </c>
      <c r="K123" s="11"/>
      <c r="L123" s="11"/>
      <c r="M123" s="11"/>
      <c r="N123" s="11">
        <v>0</v>
      </c>
      <c r="O123" s="11">
        <v>0</v>
      </c>
      <c r="P123" s="11"/>
      <c r="Q123" s="11"/>
      <c r="R123" s="11"/>
      <c r="S123" s="11"/>
      <c r="T123" s="11"/>
      <c r="U123" s="11">
        <v>40000</v>
      </c>
      <c r="V123" s="11">
        <v>50000</v>
      </c>
      <c r="W123" s="11">
        <v>0</v>
      </c>
      <c r="X123" s="30"/>
    </row>
    <row r="124" spans="2:24" ht="15.75">
      <c r="B124" s="1">
        <f t="shared" si="20"/>
        <v>116</v>
      </c>
      <c r="C124" s="1" t="s">
        <v>229</v>
      </c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>
        <v>0</v>
      </c>
      <c r="V124" s="11">
        <v>40000</v>
      </c>
      <c r="W124" s="11">
        <v>40000</v>
      </c>
      <c r="X124" s="30"/>
    </row>
    <row r="125" spans="2:25" ht="15.75">
      <c r="B125" s="1">
        <f t="shared" si="20"/>
        <v>117</v>
      </c>
      <c r="C125" s="1" t="s">
        <v>159</v>
      </c>
      <c r="D125" s="1"/>
      <c r="E125" s="1"/>
      <c r="F125" s="11"/>
      <c r="G125" s="11"/>
      <c r="H125" s="11"/>
      <c r="I125" s="11"/>
      <c r="J125" s="11"/>
      <c r="K125" s="11"/>
      <c r="L125" s="11"/>
      <c r="M125" s="11"/>
      <c r="N125" s="11"/>
      <c r="O125" s="11">
        <v>66332</v>
      </c>
      <c r="P125" s="11">
        <v>876814</v>
      </c>
      <c r="Q125" s="11">
        <f>169233-16248</f>
        <v>152985</v>
      </c>
      <c r="R125" s="11">
        <v>79307</v>
      </c>
      <c r="S125" s="11">
        <v>0</v>
      </c>
      <c r="T125" s="11"/>
      <c r="U125" s="11"/>
      <c r="V125" s="11"/>
      <c r="W125" s="11"/>
      <c r="X125" s="30" t="s">
        <v>133</v>
      </c>
      <c r="Y125" s="24" t="s">
        <v>158</v>
      </c>
    </row>
    <row r="126" spans="2:25" ht="15.75">
      <c r="B126" s="1">
        <f t="shared" si="20"/>
        <v>118</v>
      </c>
      <c r="C126" s="1" t="s">
        <v>203</v>
      </c>
      <c r="D126" s="1"/>
      <c r="E126" s="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>
        <v>0</v>
      </c>
      <c r="V126" s="11">
        <v>75000</v>
      </c>
      <c r="W126" s="11">
        <v>0</v>
      </c>
      <c r="X126" s="30" t="s">
        <v>133</v>
      </c>
      <c r="Y126" s="24" t="s">
        <v>202</v>
      </c>
    </row>
    <row r="127" spans="2:25" ht="15.75">
      <c r="B127" s="1">
        <f t="shared" si="20"/>
        <v>119</v>
      </c>
      <c r="C127" s="1" t="s">
        <v>206</v>
      </c>
      <c r="D127" s="11"/>
      <c r="E127" s="11"/>
      <c r="F127" s="11"/>
      <c r="G127" s="11"/>
      <c r="H127" s="11"/>
      <c r="I127" s="11"/>
      <c r="J127" s="11"/>
      <c r="K127" s="11">
        <v>0</v>
      </c>
      <c r="L127" s="11"/>
      <c r="M127" s="11"/>
      <c r="N127" s="11"/>
      <c r="O127" s="11"/>
      <c r="P127" s="11">
        <v>0</v>
      </c>
      <c r="Q127" s="11">
        <v>0</v>
      </c>
      <c r="R127" s="11">
        <v>0</v>
      </c>
      <c r="S127" s="11">
        <v>0</v>
      </c>
      <c r="T127" s="11"/>
      <c r="U127" s="11">
        <v>0</v>
      </c>
      <c r="V127" s="11">
        <v>0</v>
      </c>
      <c r="W127" s="11">
        <v>0</v>
      </c>
      <c r="X127" s="30"/>
      <c r="Y127" s="24" t="s">
        <v>202</v>
      </c>
    </row>
    <row r="128" spans="2:25" ht="15.75">
      <c r="B128" s="1">
        <f t="shared" si="20"/>
        <v>120</v>
      </c>
      <c r="C128" s="1" t="s">
        <v>151</v>
      </c>
      <c r="D128" s="1"/>
      <c r="E128" s="1"/>
      <c r="F128" s="11"/>
      <c r="G128" s="11"/>
      <c r="H128" s="11"/>
      <c r="I128" s="11"/>
      <c r="J128" s="11"/>
      <c r="K128" s="11"/>
      <c r="L128" s="11"/>
      <c r="M128" s="11"/>
      <c r="N128" s="11"/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/>
      <c r="U128" s="11">
        <v>0</v>
      </c>
      <c r="V128" s="11">
        <v>250000</v>
      </c>
      <c r="W128" s="11">
        <v>250000</v>
      </c>
      <c r="X128" s="30" t="s">
        <v>133</v>
      </c>
      <c r="Y128" s="24" t="s">
        <v>157</v>
      </c>
    </row>
    <row r="129" spans="2:25" ht="15.75">
      <c r="B129" s="1">
        <f t="shared" si="20"/>
        <v>121</v>
      </c>
      <c r="C129" s="1" t="s">
        <v>232</v>
      </c>
      <c r="D129" s="11"/>
      <c r="E129" s="11"/>
      <c r="F129" s="11"/>
      <c r="G129" s="11"/>
      <c r="H129" s="11"/>
      <c r="I129" s="11"/>
      <c r="J129" s="11"/>
      <c r="K129" s="11">
        <v>0</v>
      </c>
      <c r="L129" s="11"/>
      <c r="M129" s="11"/>
      <c r="N129" s="11"/>
      <c r="O129" s="11">
        <v>10982</v>
      </c>
      <c r="P129" s="11">
        <v>0</v>
      </c>
      <c r="Q129" s="11">
        <v>0</v>
      </c>
      <c r="R129" s="11">
        <v>0</v>
      </c>
      <c r="S129" s="11">
        <v>0</v>
      </c>
      <c r="T129" s="11"/>
      <c r="U129" s="11">
        <f>278+1217</f>
        <v>1495</v>
      </c>
      <c r="V129" s="11">
        <v>125000</v>
      </c>
      <c r="W129" s="11">
        <v>375000</v>
      </c>
      <c r="X129" s="30"/>
      <c r="Y129" s="24" t="s">
        <v>204</v>
      </c>
    </row>
    <row r="130" spans="2:25" ht="15.75">
      <c r="B130" s="1">
        <f t="shared" si="20"/>
        <v>122</v>
      </c>
      <c r="C130" s="1" t="s">
        <v>222</v>
      </c>
      <c r="D130" s="11"/>
      <c r="E130" s="11"/>
      <c r="F130" s="11"/>
      <c r="G130" s="11"/>
      <c r="H130" s="11"/>
      <c r="I130" s="11"/>
      <c r="J130" s="11"/>
      <c r="K130" s="11">
        <v>0</v>
      </c>
      <c r="L130" s="11"/>
      <c r="M130" s="11"/>
      <c r="N130" s="11"/>
      <c r="O130" s="11">
        <v>0</v>
      </c>
      <c r="P130" s="11">
        <v>0</v>
      </c>
      <c r="Q130" s="11">
        <v>10642</v>
      </c>
      <c r="R130" s="11">
        <v>0</v>
      </c>
      <c r="S130" s="11">
        <v>0</v>
      </c>
      <c r="T130" s="11">
        <v>12473</v>
      </c>
      <c r="U130" s="11">
        <v>0</v>
      </c>
      <c r="V130" s="11">
        <v>0</v>
      </c>
      <c r="W130" s="11">
        <v>0</v>
      </c>
      <c r="X130" s="30"/>
      <c r="Y130" s="24" t="s">
        <v>88</v>
      </c>
    </row>
    <row r="131" spans="2:25" ht="15.75">
      <c r="B131" s="1">
        <f t="shared" si="20"/>
        <v>123</v>
      </c>
      <c r="C131" s="1" t="s">
        <v>224</v>
      </c>
      <c r="D131" s="11"/>
      <c r="E131" s="11"/>
      <c r="F131" s="11"/>
      <c r="G131" s="11"/>
      <c r="H131" s="11"/>
      <c r="I131" s="11"/>
      <c r="J131" s="11"/>
      <c r="K131" s="11">
        <v>0</v>
      </c>
      <c r="L131" s="11"/>
      <c r="M131" s="11"/>
      <c r="N131" s="11"/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/>
      <c r="U131" s="11">
        <f>3075+6399+238</f>
        <v>9712</v>
      </c>
      <c r="V131" s="11">
        <v>70000</v>
      </c>
      <c r="W131" s="11">
        <v>80000</v>
      </c>
      <c r="X131" s="30"/>
      <c r="Y131" s="24" t="s">
        <v>88</v>
      </c>
    </row>
    <row r="132" spans="2:25" ht="15.75">
      <c r="B132" s="1">
        <f t="shared" si="20"/>
        <v>124</v>
      </c>
      <c r="C132" s="1" t="s">
        <v>205</v>
      </c>
      <c r="D132" s="11"/>
      <c r="E132" s="11"/>
      <c r="F132" s="11"/>
      <c r="G132" s="11"/>
      <c r="H132" s="11"/>
      <c r="I132" s="11"/>
      <c r="J132" s="11"/>
      <c r="K132" s="11">
        <v>0</v>
      </c>
      <c r="L132" s="11"/>
      <c r="M132" s="11"/>
      <c r="N132" s="11"/>
      <c r="O132" s="11"/>
      <c r="P132" s="11">
        <v>0</v>
      </c>
      <c r="Q132" s="11">
        <v>0</v>
      </c>
      <c r="R132" s="11">
        <v>33000</v>
      </c>
      <c r="S132" s="11">
        <v>0</v>
      </c>
      <c r="T132" s="11">
        <v>0</v>
      </c>
      <c r="U132" s="11">
        <v>0</v>
      </c>
      <c r="V132" s="11">
        <v>40000</v>
      </c>
      <c r="W132" s="11">
        <v>50000</v>
      </c>
      <c r="X132" s="30"/>
      <c r="Y132" s="24" t="s">
        <v>266</v>
      </c>
    </row>
    <row r="133" spans="2:25" s="3" customFormat="1" ht="15.75">
      <c r="B133" s="1">
        <f t="shared" si="20"/>
        <v>125</v>
      </c>
      <c r="C133" s="3" t="s">
        <v>44</v>
      </c>
      <c r="D133" s="16">
        <f aca="true" t="shared" si="21" ref="D133:W133">SUM(D112:D132)</f>
        <v>0</v>
      </c>
      <c r="E133" s="16">
        <f t="shared" si="21"/>
        <v>0</v>
      </c>
      <c r="F133" s="16">
        <f t="shared" si="21"/>
        <v>54302</v>
      </c>
      <c r="G133" s="16">
        <f t="shared" si="21"/>
        <v>0</v>
      </c>
      <c r="H133" s="16">
        <f t="shared" si="21"/>
        <v>65592</v>
      </c>
      <c r="I133" s="16">
        <f t="shared" si="21"/>
        <v>419392</v>
      </c>
      <c r="J133" s="16">
        <f t="shared" si="21"/>
        <v>438454</v>
      </c>
      <c r="K133" s="16">
        <f t="shared" si="21"/>
        <v>46957</v>
      </c>
      <c r="L133" s="16">
        <f t="shared" si="21"/>
        <v>0</v>
      </c>
      <c r="M133" s="16">
        <f t="shared" si="21"/>
        <v>722039</v>
      </c>
      <c r="N133" s="16">
        <f t="shared" si="21"/>
        <v>51568</v>
      </c>
      <c r="O133" s="16">
        <f t="shared" si="21"/>
        <v>396785</v>
      </c>
      <c r="P133" s="16">
        <f t="shared" si="21"/>
        <v>1288033</v>
      </c>
      <c r="Q133" s="16">
        <f t="shared" si="21"/>
        <v>1793057</v>
      </c>
      <c r="R133" s="16">
        <f t="shared" si="21"/>
        <v>2421172</v>
      </c>
      <c r="S133" s="16">
        <f t="shared" si="21"/>
        <v>316160</v>
      </c>
      <c r="T133" s="16">
        <f t="shared" si="21"/>
        <v>151136</v>
      </c>
      <c r="U133" s="16">
        <f t="shared" si="21"/>
        <v>150259</v>
      </c>
      <c r="V133" s="16">
        <f t="shared" si="21"/>
        <v>2725000</v>
      </c>
      <c r="W133" s="16">
        <f t="shared" si="21"/>
        <v>6400000</v>
      </c>
      <c r="X133" s="30"/>
      <c r="Y133" s="24"/>
    </row>
    <row r="134" spans="2:24" ht="15.75">
      <c r="B134" s="1">
        <f t="shared" si="20"/>
        <v>126</v>
      </c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30"/>
    </row>
    <row r="135" spans="2:25" s="3" customFormat="1" ht="15.75">
      <c r="B135" s="1">
        <f t="shared" si="20"/>
        <v>127</v>
      </c>
      <c r="C135" s="3" t="s">
        <v>208</v>
      </c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30"/>
      <c r="Y135" s="24"/>
    </row>
    <row r="136" spans="2:25" ht="15.75">
      <c r="B136" s="1">
        <f t="shared" si="20"/>
        <v>128</v>
      </c>
      <c r="C136" s="1" t="s">
        <v>130</v>
      </c>
      <c r="D136" s="11"/>
      <c r="E136" s="11"/>
      <c r="F136" s="11"/>
      <c r="G136" s="11"/>
      <c r="H136" s="11"/>
      <c r="I136" s="11"/>
      <c r="J136" s="11" t="s">
        <v>88</v>
      </c>
      <c r="K136" s="11"/>
      <c r="L136" s="11"/>
      <c r="M136" s="11">
        <v>1260481</v>
      </c>
      <c r="N136" s="11"/>
      <c r="O136" s="11"/>
      <c r="P136" s="11">
        <v>573712</v>
      </c>
      <c r="Q136" s="11"/>
      <c r="R136" s="11"/>
      <c r="S136" s="11">
        <v>662710</v>
      </c>
      <c r="T136" s="11"/>
      <c r="U136" s="11">
        <v>329034</v>
      </c>
      <c r="V136" s="11">
        <v>600000</v>
      </c>
      <c r="W136" s="11">
        <v>0</v>
      </c>
      <c r="X136" s="30"/>
      <c r="Y136" s="24" t="s">
        <v>207</v>
      </c>
    </row>
    <row r="137" spans="2:25" ht="15.75">
      <c r="B137" s="1">
        <f t="shared" si="20"/>
        <v>129</v>
      </c>
      <c r="C137" s="1" t="s">
        <v>108</v>
      </c>
      <c r="D137" s="11"/>
      <c r="E137" s="11"/>
      <c r="F137" s="11"/>
      <c r="G137" s="11"/>
      <c r="H137" s="11"/>
      <c r="I137" s="11"/>
      <c r="J137" s="11">
        <v>432454</v>
      </c>
      <c r="K137" s="11">
        <f>70637</f>
        <v>70637</v>
      </c>
      <c r="L137" s="11">
        <v>50806</v>
      </c>
      <c r="M137" s="11">
        <f>2477119-1510481</f>
        <v>966638</v>
      </c>
      <c r="N137" s="11">
        <f aca="true" t="shared" si="22" ref="N137:U137">N133</f>
        <v>51568</v>
      </c>
      <c r="O137" s="11">
        <f t="shared" si="22"/>
        <v>396785</v>
      </c>
      <c r="P137" s="11">
        <f t="shared" si="22"/>
        <v>1288033</v>
      </c>
      <c r="Q137" s="11">
        <f t="shared" si="22"/>
        <v>1793057</v>
      </c>
      <c r="R137" s="11">
        <f>R133</f>
        <v>2421172</v>
      </c>
      <c r="S137" s="11">
        <f>S133</f>
        <v>316160</v>
      </c>
      <c r="T137" s="11">
        <f>T133</f>
        <v>151136</v>
      </c>
      <c r="U137" s="11">
        <f t="shared" si="22"/>
        <v>150259</v>
      </c>
      <c r="V137" s="11">
        <f>V133-V136</f>
        <v>2125000</v>
      </c>
      <c r="W137" s="11">
        <f>W133-W136</f>
        <v>6400000</v>
      </c>
      <c r="X137" s="30"/>
      <c r="Y137" s="24" t="s">
        <v>89</v>
      </c>
    </row>
    <row r="138" spans="2:25" s="3" customFormat="1" ht="15.75">
      <c r="B138" s="1">
        <f t="shared" si="20"/>
        <v>130</v>
      </c>
      <c r="C138" s="3" t="s">
        <v>45</v>
      </c>
      <c r="D138" s="18">
        <f aca="true" t="shared" si="23" ref="D138:W138">SUM(D136:D137)</f>
        <v>0</v>
      </c>
      <c r="E138" s="18">
        <f t="shared" si="23"/>
        <v>0</v>
      </c>
      <c r="F138" s="18">
        <f t="shared" si="23"/>
        <v>0</v>
      </c>
      <c r="G138" s="18">
        <f t="shared" si="23"/>
        <v>0</v>
      </c>
      <c r="H138" s="18">
        <f t="shared" si="23"/>
        <v>0</v>
      </c>
      <c r="I138" s="18">
        <f t="shared" si="23"/>
        <v>0</v>
      </c>
      <c r="J138" s="18">
        <f t="shared" si="23"/>
        <v>432454</v>
      </c>
      <c r="K138" s="18">
        <f t="shared" si="23"/>
        <v>70637</v>
      </c>
      <c r="L138" s="18">
        <f t="shared" si="23"/>
        <v>50806</v>
      </c>
      <c r="M138" s="18">
        <f t="shared" si="23"/>
        <v>2227119</v>
      </c>
      <c r="N138" s="18">
        <f t="shared" si="23"/>
        <v>51568</v>
      </c>
      <c r="O138" s="18">
        <f>SUM(O136:O137)</f>
        <v>396785</v>
      </c>
      <c r="P138" s="18">
        <f>SUM(P136:P137)</f>
        <v>1861745</v>
      </c>
      <c r="Q138" s="18">
        <f t="shared" si="23"/>
        <v>1793057</v>
      </c>
      <c r="R138" s="18">
        <f>SUM(R136:R137)</f>
        <v>2421172</v>
      </c>
      <c r="S138" s="18">
        <f>SUM(S136:S137)</f>
        <v>978870</v>
      </c>
      <c r="T138" s="18">
        <f>SUM(T136:T137)</f>
        <v>151136</v>
      </c>
      <c r="U138" s="18">
        <f>SUM(U136:U137)</f>
        <v>479293</v>
      </c>
      <c r="V138" s="18">
        <f>SUM(V136:V137)</f>
        <v>2725000</v>
      </c>
      <c r="W138" s="18">
        <f t="shared" si="23"/>
        <v>6400000</v>
      </c>
      <c r="X138" s="30"/>
      <c r="Y138" s="24"/>
    </row>
    <row r="139" spans="2:25" s="3" customFormat="1" ht="15.75">
      <c r="B139" s="1">
        <f t="shared" si="20"/>
        <v>131</v>
      </c>
      <c r="C139" s="3" t="s">
        <v>46</v>
      </c>
      <c r="D139" s="10"/>
      <c r="E139" s="10"/>
      <c r="F139" s="10"/>
      <c r="G139" s="10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>
        <v>0</v>
      </c>
      <c r="W139" s="11">
        <v>0</v>
      </c>
      <c r="X139" s="30"/>
      <c r="Y139" s="24"/>
    </row>
    <row r="140" spans="2:24" ht="15.75">
      <c r="B140" s="1">
        <f t="shared" si="20"/>
        <v>132</v>
      </c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30"/>
    </row>
    <row r="141" spans="2:25" s="3" customFormat="1" ht="15.75">
      <c r="B141" s="1">
        <f t="shared" si="20"/>
        <v>133</v>
      </c>
      <c r="C141" s="3" t="s">
        <v>83</v>
      </c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30"/>
      <c r="Y141" s="24"/>
    </row>
    <row r="142" spans="2:25" ht="15.75">
      <c r="B142" s="1">
        <f t="shared" si="20"/>
        <v>134</v>
      </c>
      <c r="C142" s="1" t="s">
        <v>165</v>
      </c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7">
        <v>-339359</v>
      </c>
      <c r="O142" s="17">
        <f>-341121-18237</f>
        <v>-359358</v>
      </c>
      <c r="P142" s="17">
        <v>-363425</v>
      </c>
      <c r="Q142" s="17">
        <v>-369147</v>
      </c>
      <c r="R142" s="17">
        <v>-379197</v>
      </c>
      <c r="S142" s="17">
        <v>-389516</v>
      </c>
      <c r="T142" s="17">
        <v>-400107</v>
      </c>
      <c r="U142" s="17">
        <v>-344871</v>
      </c>
      <c r="V142" s="17">
        <v>-344871</v>
      </c>
      <c r="W142" s="17">
        <v>-306504</v>
      </c>
      <c r="X142" s="30"/>
      <c r="Y142" s="24" t="s">
        <v>256</v>
      </c>
    </row>
    <row r="143" spans="2:25" ht="16.5" thickBot="1">
      <c r="B143" s="1">
        <f t="shared" si="20"/>
        <v>135</v>
      </c>
      <c r="C143" s="1" t="s">
        <v>85</v>
      </c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58">
        <f aca="true" t="shared" si="24" ref="N143:U143">SUM(N142:N142)</f>
        <v>-339359</v>
      </c>
      <c r="O143" s="58">
        <f t="shared" si="24"/>
        <v>-359358</v>
      </c>
      <c r="P143" s="58">
        <f t="shared" si="24"/>
        <v>-363425</v>
      </c>
      <c r="Q143" s="58">
        <f t="shared" si="24"/>
        <v>-369147</v>
      </c>
      <c r="R143" s="58">
        <f>SUM(R142:R142)</f>
        <v>-379197</v>
      </c>
      <c r="S143" s="58">
        <f>SUM(S142:S142)</f>
        <v>-389516</v>
      </c>
      <c r="T143" s="58">
        <f>SUM(T142:T142)</f>
        <v>-400107</v>
      </c>
      <c r="U143" s="58">
        <f t="shared" si="24"/>
        <v>-344871</v>
      </c>
      <c r="V143" s="58">
        <f>SUM(V142:V142)</f>
        <v>-344871</v>
      </c>
      <c r="W143" s="58">
        <f>SUM(W142:W142)</f>
        <v>-306504</v>
      </c>
      <c r="X143" s="30"/>
      <c r="Y143" s="24" t="s">
        <v>88</v>
      </c>
    </row>
    <row r="144" spans="2:24" ht="16.5" thickTop="1">
      <c r="B144" s="1">
        <f t="shared" si="20"/>
        <v>136</v>
      </c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30"/>
    </row>
    <row r="145" spans="2:24" ht="15.75">
      <c r="B145" s="1">
        <f t="shared" si="20"/>
        <v>137</v>
      </c>
      <c r="C145" s="4" t="s">
        <v>47</v>
      </c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30"/>
    </row>
    <row r="146" spans="2:24" ht="15.75">
      <c r="B146" s="1">
        <f t="shared" si="20"/>
        <v>138</v>
      </c>
      <c r="C146" s="1" t="s">
        <v>148</v>
      </c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>
        <f aca="true" t="shared" si="25" ref="N146:W146">N109</f>
        <v>458863</v>
      </c>
      <c r="O146" s="11">
        <f t="shared" si="25"/>
        <v>729061</v>
      </c>
      <c r="P146" s="11">
        <f t="shared" si="25"/>
        <v>747939</v>
      </c>
      <c r="Q146" s="11">
        <f t="shared" si="25"/>
        <v>969313</v>
      </c>
      <c r="R146" s="11">
        <f t="shared" si="25"/>
        <v>1091343</v>
      </c>
      <c r="S146" s="11">
        <f t="shared" si="25"/>
        <v>-469496.68000000017</v>
      </c>
      <c r="T146" s="11">
        <f t="shared" si="25"/>
        <v>1351447</v>
      </c>
      <c r="U146" s="11">
        <f t="shared" si="25"/>
        <v>1141871.58</v>
      </c>
      <c r="V146" s="11">
        <f t="shared" si="25"/>
        <v>616115.6324000005</v>
      </c>
      <c r="W146" s="11">
        <f t="shared" si="25"/>
        <v>-662321.5671839998</v>
      </c>
      <c r="X146" s="30"/>
    </row>
    <row r="147" spans="2:24" ht="15.75">
      <c r="B147" s="1">
        <f t="shared" si="20"/>
        <v>139</v>
      </c>
      <c r="C147" s="1" t="s">
        <v>48</v>
      </c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>
        <f aca="true" t="shared" si="26" ref="N147:W147">N90</f>
        <v>949095</v>
      </c>
      <c r="O147" s="11">
        <f t="shared" si="26"/>
        <v>920234</v>
      </c>
      <c r="P147" s="11">
        <f t="shared" si="26"/>
        <v>924813</v>
      </c>
      <c r="Q147" s="11">
        <f t="shared" si="26"/>
        <v>909479</v>
      </c>
      <c r="R147" s="11">
        <f t="shared" si="26"/>
        <v>841062</v>
      </c>
      <c r="S147" s="11">
        <f t="shared" si="26"/>
        <v>772652</v>
      </c>
      <c r="T147" s="11">
        <f t="shared" si="26"/>
        <v>757058</v>
      </c>
      <c r="U147" s="11">
        <f t="shared" si="26"/>
        <v>1000000</v>
      </c>
      <c r="V147" s="11">
        <f t="shared" si="26"/>
        <v>1000000</v>
      </c>
      <c r="W147" s="11">
        <f t="shared" si="26"/>
        <v>1500000</v>
      </c>
      <c r="X147" s="30"/>
    </row>
    <row r="148" spans="2:24" ht="15.75">
      <c r="B148" s="1">
        <f t="shared" si="20"/>
        <v>140</v>
      </c>
      <c r="C148" s="1" t="s">
        <v>84</v>
      </c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>
        <f>-302189-135379-46494-14000-9000-6000</f>
        <v>-513062</v>
      </c>
      <c r="O148" s="11">
        <f aca="true" t="shared" si="27" ref="O148:W148">O143</f>
        <v>-359358</v>
      </c>
      <c r="P148" s="11">
        <f t="shared" si="27"/>
        <v>-363425</v>
      </c>
      <c r="Q148" s="11">
        <f t="shared" si="27"/>
        <v>-369147</v>
      </c>
      <c r="R148" s="11">
        <f>R143</f>
        <v>-379197</v>
      </c>
      <c r="S148" s="11">
        <f>S143</f>
        <v>-389516</v>
      </c>
      <c r="T148" s="11">
        <f>T143</f>
        <v>-400107</v>
      </c>
      <c r="U148" s="11">
        <f t="shared" si="27"/>
        <v>-344871</v>
      </c>
      <c r="V148" s="11">
        <f>V143</f>
        <v>-344871</v>
      </c>
      <c r="W148" s="11">
        <f t="shared" si="27"/>
        <v>-306504</v>
      </c>
      <c r="X148" s="30"/>
    </row>
    <row r="149" spans="2:24" ht="16.5" thickBot="1">
      <c r="B149" s="1">
        <f t="shared" si="20"/>
        <v>141</v>
      </c>
      <c r="C149" s="1" t="s">
        <v>104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58">
        <f aca="true" t="shared" si="28" ref="N149:U149">SUM(N146:N148)</f>
        <v>894896</v>
      </c>
      <c r="O149" s="58">
        <f t="shared" si="28"/>
        <v>1289937</v>
      </c>
      <c r="P149" s="58">
        <f t="shared" si="28"/>
        <v>1309327</v>
      </c>
      <c r="Q149" s="58">
        <f t="shared" si="28"/>
        <v>1509645</v>
      </c>
      <c r="R149" s="58">
        <f>SUM(R146:R148)</f>
        <v>1553208</v>
      </c>
      <c r="S149" s="58">
        <f>SUM(S146:S148)</f>
        <v>-86360.68000000017</v>
      </c>
      <c r="T149" s="58">
        <f>SUM(T146:T148)</f>
        <v>1708398</v>
      </c>
      <c r="U149" s="58">
        <f t="shared" si="28"/>
        <v>1797000.58</v>
      </c>
      <c r="V149" s="58">
        <f>SUM(V146:V148)</f>
        <v>1271244.6324000005</v>
      </c>
      <c r="W149" s="58">
        <f>SUM(W146:W148)</f>
        <v>531174.4328160002</v>
      </c>
      <c r="X149" s="30"/>
    </row>
    <row r="150" spans="2:24" ht="16.5" thickTop="1">
      <c r="B150" s="1">
        <f t="shared" si="20"/>
        <v>142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30"/>
    </row>
    <row r="151" spans="2:24" ht="15.75">
      <c r="B151" s="1">
        <f t="shared" si="20"/>
        <v>143</v>
      </c>
      <c r="C151" s="3" t="s">
        <v>69</v>
      </c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30"/>
    </row>
    <row r="152" spans="2:25" ht="15.75">
      <c r="B152" s="1">
        <f t="shared" si="20"/>
        <v>144</v>
      </c>
      <c r="C152" s="1" t="s">
        <v>129</v>
      </c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>
        <f aca="true" t="shared" si="29" ref="N152:U152">-N137</f>
        <v>-51568</v>
      </c>
      <c r="O152" s="11">
        <f t="shared" si="29"/>
        <v>-396785</v>
      </c>
      <c r="P152" s="11">
        <f t="shared" si="29"/>
        <v>-1288033</v>
      </c>
      <c r="Q152" s="11">
        <f t="shared" si="29"/>
        <v>-1793057</v>
      </c>
      <c r="R152" s="11">
        <f>-R137</f>
        <v>-2421172</v>
      </c>
      <c r="S152" s="11">
        <f>-S137</f>
        <v>-316160</v>
      </c>
      <c r="T152" s="11">
        <f>-T137</f>
        <v>-151136</v>
      </c>
      <c r="U152" s="11">
        <f t="shared" si="29"/>
        <v>-150259</v>
      </c>
      <c r="V152" s="11">
        <f>-V137</f>
        <v>-2125000</v>
      </c>
      <c r="W152" s="11">
        <f>-W137</f>
        <v>-6400000</v>
      </c>
      <c r="X152" s="30"/>
      <c r="Y152" s="24" t="s">
        <v>89</v>
      </c>
    </row>
    <row r="153" spans="2:24" ht="15.75">
      <c r="B153" s="1">
        <f t="shared" si="20"/>
        <v>145</v>
      </c>
      <c r="C153" s="1" t="s">
        <v>117</v>
      </c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>
        <f aca="true" t="shared" si="30" ref="N153:U153">N149</f>
        <v>894896</v>
      </c>
      <c r="O153" s="11">
        <f t="shared" si="30"/>
        <v>1289937</v>
      </c>
      <c r="P153" s="11">
        <f t="shared" si="30"/>
        <v>1309327</v>
      </c>
      <c r="Q153" s="11">
        <f t="shared" si="30"/>
        <v>1509645</v>
      </c>
      <c r="R153" s="11">
        <f>R149</f>
        <v>1553208</v>
      </c>
      <c r="S153" s="11">
        <f>S149</f>
        <v>-86360.68000000017</v>
      </c>
      <c r="T153" s="11">
        <f>T149</f>
        <v>1708398</v>
      </c>
      <c r="U153" s="11">
        <f t="shared" si="30"/>
        <v>1797000.58</v>
      </c>
      <c r="V153" s="11">
        <f>V149</f>
        <v>1271244.6324000005</v>
      </c>
      <c r="W153" s="11">
        <f>W149</f>
        <v>531174.4328160002</v>
      </c>
      <c r="X153" s="30"/>
    </row>
    <row r="154" spans="2:24" ht="15.75">
      <c r="B154" s="1">
        <f t="shared" si="20"/>
        <v>146</v>
      </c>
      <c r="D154" s="23"/>
      <c r="E154" s="23"/>
      <c r="F154" s="23"/>
      <c r="G154" s="23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30"/>
    </row>
    <row r="155" spans="2:25" ht="16.5" thickBot="1">
      <c r="B155" s="1">
        <f t="shared" si="20"/>
        <v>147</v>
      </c>
      <c r="C155" s="1" t="s">
        <v>90</v>
      </c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22">
        <f aca="true" t="shared" si="31" ref="N155:U155">SUM(N152:N154)</f>
        <v>843328</v>
      </c>
      <c r="O155" s="22">
        <f t="shared" si="31"/>
        <v>893152</v>
      </c>
      <c r="P155" s="22">
        <f t="shared" si="31"/>
        <v>21294</v>
      </c>
      <c r="Q155" s="22">
        <f t="shared" si="31"/>
        <v>-283412</v>
      </c>
      <c r="R155" s="22">
        <f>SUM(R152:R154)</f>
        <v>-867964</v>
      </c>
      <c r="S155" s="22">
        <f>SUM(S152:S154)</f>
        <v>-402520.68000000017</v>
      </c>
      <c r="T155" s="22">
        <f>SUM(T152:T154)</f>
        <v>1557262</v>
      </c>
      <c r="U155" s="22">
        <f t="shared" si="31"/>
        <v>1646741.58</v>
      </c>
      <c r="V155" s="22">
        <f>SUM(V152:V154)</f>
        <v>-853755.3675999995</v>
      </c>
      <c r="W155" s="22">
        <f>SUM(W152:W154)</f>
        <v>-5868825.567183999</v>
      </c>
      <c r="X155" s="30"/>
      <c r="Y155" s="24" t="s">
        <v>91</v>
      </c>
    </row>
    <row r="156" spans="4:24" ht="16.5" thickTop="1"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30"/>
    </row>
  </sheetData>
  <sheetProtection/>
  <printOptions gridLines="1"/>
  <pageMargins left="0.24" right="0.2" top="0.25" bottom="0.52" header="0.5" footer="0.19"/>
  <pageSetup fitToHeight="6" fitToWidth="1" horizontalDpi="600" verticalDpi="600" orientation="landscape" paperSize="5" scale="75" r:id="rId3"/>
  <headerFooter alignWithMargins="0">
    <oddFooter>&amp;L&amp;F&amp;C&amp;D Revision&amp;RPG &amp;P</oddFooter>
  </headerFooter>
  <rowBreaks count="3" manualBreakCount="3">
    <brk id="46" min="1" max="19" man="1"/>
    <brk id="92" min="2" max="14" man="1"/>
    <brk id="133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Kirk Adams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 Adams</dc:creator>
  <cp:keywords/>
  <dc:description/>
  <cp:lastModifiedBy>Shay Shaw</cp:lastModifiedBy>
  <cp:lastPrinted>2019-04-18T22:32:24Z</cp:lastPrinted>
  <dcterms:created xsi:type="dcterms:W3CDTF">2004-07-01T21:35:50Z</dcterms:created>
  <dcterms:modified xsi:type="dcterms:W3CDTF">2022-06-09T18:10:16Z</dcterms:modified>
  <cp:category/>
  <cp:version/>
  <cp:contentType/>
  <cp:contentStatus/>
</cp:coreProperties>
</file>